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390" windowHeight="9315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<sst xmlns="http://schemas.openxmlformats.org/spreadsheetml/2006/main" count="139" uniqueCount="71">
  <si>
    <t>= P Sorption Index Avg</t>
  </si>
  <si>
    <t>= Inches Evaluated</t>
  </si>
  <si>
    <t>SAMPLE ID</t>
  </si>
  <si>
    <t>DEPTH</t>
  </si>
  <si>
    <t>(INCHES)</t>
  </si>
  <si>
    <t>SPRAY FIELD G/1</t>
  </si>
  <si>
    <t>G-9</t>
  </si>
  <si>
    <t>0 TO 6</t>
  </si>
  <si>
    <t>6 TO 12</t>
  </si>
  <si>
    <t>G-19</t>
  </si>
  <si>
    <t>G-22</t>
  </si>
  <si>
    <t>G-28</t>
  </si>
  <si>
    <t>G-36</t>
  </si>
  <si>
    <t>G-106</t>
  </si>
  <si>
    <t>G-124</t>
  </si>
  <si>
    <t>G-135</t>
  </si>
  <si>
    <t>F-13</t>
  </si>
  <si>
    <t>F-57</t>
  </si>
  <si>
    <t>E-14</t>
  </si>
  <si>
    <t>E-65</t>
  </si>
  <si>
    <t>D-12</t>
  </si>
  <si>
    <t>SPRAY FIELD F/2</t>
  </si>
  <si>
    <t>SPRAY FIELD E/3</t>
  </si>
  <si>
    <t>SPRAY FIELD D/4</t>
  </si>
  <si>
    <t>D-15</t>
  </si>
  <si>
    <t>C-62</t>
  </si>
  <si>
    <t>C-70</t>
  </si>
  <si>
    <t>SPRAY FIELD C/5</t>
  </si>
  <si>
    <t>B-23</t>
  </si>
  <si>
    <t>B-106</t>
  </si>
  <si>
    <t>B-111</t>
  </si>
  <si>
    <t>B-113</t>
  </si>
  <si>
    <t>B-118</t>
  </si>
  <si>
    <t>SPRAY FIELD B/6</t>
  </si>
  <si>
    <t>A-5</t>
  </si>
  <si>
    <t>A-24</t>
  </si>
  <si>
    <t>A-26</t>
  </si>
  <si>
    <t>SPRAY FIELD A/7</t>
  </si>
  <si>
    <t>AVERAGE</t>
  </si>
  <si>
    <t>STORAGE CAPACITY (LBS/ACRE)</t>
  </si>
  <si>
    <t>CORN</t>
  </si>
  <si>
    <t>MAY-SEPT</t>
  </si>
  <si>
    <t>CROP</t>
  </si>
  <si>
    <t>PERIOD</t>
  </si>
  <si>
    <t>WHEAT</t>
  </si>
  <si>
    <t>OCT-JUNE</t>
  </si>
  <si>
    <t>SOYBEAN</t>
  </si>
  <si>
    <t>JULY-OCT</t>
  </si>
  <si>
    <t>OCT-APRIL</t>
  </si>
  <si>
    <t>COVER</t>
  </si>
  <si>
    <t>TOTAL</t>
  </si>
  <si>
    <t>AVG PER YEAR</t>
  </si>
  <si>
    <t>Max Loading (in/week)</t>
  </si>
  <si>
    <t>Max Spray Application (weeks/year)</t>
  </si>
  <si>
    <t>Max yearly loading (acre*inches/year)</t>
  </si>
  <si>
    <t>Max (gal/acre/year)</t>
  </si>
  <si>
    <t>Phosphorus conc. in effluent (mg/L)</t>
  </si>
  <si>
    <t>Total Applied (gal/acre/year)</t>
  </si>
  <si>
    <t>Max. Loading per Year (lb/acre/year)</t>
  </si>
  <si>
    <t>AVERAGE P SORPTION INDEX</t>
  </si>
  <si>
    <t>CROP P UPTAKE</t>
  </si>
  <si>
    <t>P LOADING IN EFFLUENT</t>
  </si>
  <si>
    <t>P UPTAKE (LBS/ACRE)</t>
  </si>
  <si>
    <t>Site Life (Yrs)</t>
  </si>
  <si>
    <t>Net P Applied (lb/ac/yr)</t>
  </si>
  <si>
    <t>Total (lb/ac)</t>
  </si>
  <si>
    <t>= Soil Phosphorus Storage Capacity (lbs/ac/6" depth)</t>
  </si>
  <si>
    <t>= Soil Phosphorus Storage Capacity (lbs/ac/12" depth)</t>
  </si>
  <si>
    <t>= Average Site Life (yrs)</t>
  </si>
  <si>
    <t>P Storage Capacity=[(Average Sorption Index + 51.9) ÷ 0.5] x [95 x 43,560 x Depth Evaluated (ft) ÷ 10^6]</t>
  </si>
  <si>
    <t>PHOSPHORUS SITE LIFE CALCULATION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</si>
</sst>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000"/>
    <numFmt numFmtId="167" formatCode="0.000"/>
    <numFmt numFmtId="168" formatCode="0.0"/>
    <numFmt numFmtId="169" formatCode="0.00000000"/>
    <numFmt numFmtId="170" formatCode="0.0000000"/>
    <numFmt numFmtId="171" formatCode="0.000000"/>
    <numFmt numFmtId="172" formatCode="0.00000"/>
    <numFmt numFmtId="173" formatCode="[$-409]dddd\,\ mmmm\ dd\,\ yyyy"/>
    <numFmt numFmtId="174" formatCode="[$-409]h:mm:ss\ AM/PM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center"/>
      <protection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" fontId="0" fillId="0" borderId="4" xfId="0" applyNumberFormat="1" applyBorder="1" applyAlignment="1">
      <alignment/>
    </xf>
    <xf numFmtId="0" fontId="0" fillId="0" borderId="0" xfId="0" applyBorder="1" applyAlignment="1" quotePrefix="1">
      <alignment horizontal="center"/>
    </xf>
    <xf numFmtId="165" fontId="0" fillId="0" borderId="0" xfId="0" applyNumberFormat="1" applyBorder="1" applyAlignment="1" applyProtection="1">
      <alignment/>
      <protection/>
    </xf>
    <xf numFmtId="165" fontId="0" fillId="0" borderId="6" xfId="0" applyNumberFormat="1" applyBorder="1" applyAlignment="1" applyProtection="1">
      <alignment/>
      <protection/>
    </xf>
    <xf numFmtId="0" fontId="0" fillId="0" borderId="7" xfId="0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0" fontId="0" fillId="0" borderId="0" xfId="0" applyBorder="1" applyAlignment="1" quotePrefix="1">
      <alignment horizontal="left"/>
    </xf>
    <xf numFmtId="1" fontId="0" fillId="0" borderId="4" xfId="0" applyNumberFormat="1" applyBorder="1" applyAlignment="1" applyProtection="1">
      <alignment/>
      <protection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 horizontal="right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168" fontId="0" fillId="0" borderId="10" xfId="0" applyNumberFormat="1" applyBorder="1" applyAlignment="1">
      <alignment horizontal="center"/>
    </xf>
    <xf numFmtId="168" fontId="0" fillId="0" borderId="0" xfId="0" applyNumberFormat="1" applyBorder="1" applyAlignment="1" applyProtection="1">
      <alignment/>
      <protection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168" fontId="0" fillId="0" borderId="9" xfId="0" applyNumberFormat="1" applyBorder="1" applyAlignment="1" applyProtection="1">
      <alignment/>
      <protection/>
    </xf>
    <xf numFmtId="0" fontId="0" fillId="0" borderId="11" xfId="0" applyBorder="1" applyAlignment="1" quotePrefix="1">
      <alignment horizontal="left"/>
    </xf>
    <xf numFmtId="0" fontId="0" fillId="0" borderId="10" xfId="0" applyBorder="1" applyAlignment="1">
      <alignment horizontal="center"/>
    </xf>
    <xf numFmtId="1" fontId="3" fillId="0" borderId="4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3" xfId="0" applyFont="1" applyBorder="1" applyAlignment="1">
      <alignment wrapText="1"/>
    </xf>
    <xf numFmtId="0" fontId="0" fillId="0" borderId="7" xfId="0" applyBorder="1" applyAlignment="1">
      <alignment wrapText="1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13"/>
  <sheetViews>
    <sheetView tabSelected="1" view="pageBreakPreview" zoomScale="60" workbookViewId="0" topLeftCell="A1">
      <selection activeCell="A2" sqref="A1:A16384"/>
    </sheetView>
  </sheetViews>
  <sheetFormatPr defaultColWidth="9.140625" defaultRowHeight="12.75"/>
  <cols>
    <col min="1" max="1" width="7.421875" style="0" customWidth="1"/>
    <col min="2" max="2" width="18.421875" style="0" customWidth="1"/>
    <col min="3" max="3" width="12.28125" style="2" customWidth="1"/>
    <col min="4" max="4" width="9.28125" style="2" bestFit="1" customWidth="1"/>
    <col min="5" max="5" width="10.8515625" style="0" bestFit="1" customWidth="1"/>
    <col min="6" max="6" width="33.00390625" style="0" customWidth="1"/>
    <col min="7" max="7" width="10.57421875" style="0" bestFit="1" customWidth="1"/>
    <col min="8" max="8" width="11.421875" style="0" customWidth="1"/>
    <col min="9" max="9" width="12.7109375" style="0" customWidth="1"/>
    <col min="10" max="10" width="13.28125" style="0" customWidth="1"/>
    <col min="11" max="11" width="4.8515625" style="0" customWidth="1"/>
    <col min="12" max="12" width="39.140625" style="0" bestFit="1" customWidth="1"/>
    <col min="13" max="13" width="11.421875" style="2" bestFit="1" customWidth="1"/>
  </cols>
  <sheetData>
    <row r="1" spans="2:8" ht="15.75">
      <c r="B1" s="49" t="s">
        <v>70</v>
      </c>
      <c r="C1" s="50"/>
      <c r="D1" s="50"/>
      <c r="E1" s="51"/>
      <c r="F1" s="51"/>
      <c r="G1" s="52"/>
      <c r="H1" s="9"/>
    </row>
    <row r="2" spans="2:8" ht="12.75">
      <c r="B2" s="16"/>
      <c r="C2" s="10"/>
      <c r="D2" s="10"/>
      <c r="E2" s="9"/>
      <c r="F2" s="9"/>
      <c r="G2" s="17"/>
      <c r="H2" s="9"/>
    </row>
    <row r="3" spans="2:8" ht="12.75">
      <c r="B3" s="25">
        <f>+AVERAGE(C31:D38,C47:D48,C57:D58,C67:D68,C77:D78,C87:D91,C100:D102)</f>
        <v>13.229166666666666</v>
      </c>
      <c r="C3" s="19" t="s">
        <v>0</v>
      </c>
      <c r="D3" s="10"/>
      <c r="E3" s="20"/>
      <c r="F3" s="9"/>
      <c r="G3" s="17"/>
      <c r="H3" s="9"/>
    </row>
    <row r="4" spans="2:8" ht="12.75">
      <c r="B4" s="18">
        <v>6</v>
      </c>
      <c r="C4" s="19" t="s">
        <v>1</v>
      </c>
      <c r="D4" s="10"/>
      <c r="E4" s="20"/>
      <c r="F4" s="9"/>
      <c r="G4" s="17"/>
      <c r="H4" s="9"/>
    </row>
    <row r="5" spans="2:8" ht="12.75">
      <c r="B5" s="18"/>
      <c r="C5" s="19"/>
      <c r="D5" s="10"/>
      <c r="E5" s="20"/>
      <c r="F5" s="9"/>
      <c r="G5" s="17"/>
      <c r="H5" s="9"/>
    </row>
    <row r="6" spans="2:8" ht="12.75">
      <c r="B6" s="46" t="s">
        <v>69</v>
      </c>
      <c r="C6" s="47"/>
      <c r="D6" s="47"/>
      <c r="E6" s="47"/>
      <c r="F6" s="47"/>
      <c r="G6" s="48"/>
      <c r="H6" s="9"/>
    </row>
    <row r="7" spans="2:8" ht="12.75">
      <c r="B7" s="18"/>
      <c r="C7" s="10"/>
      <c r="D7" s="10"/>
      <c r="E7" s="20"/>
      <c r="F7" s="9"/>
      <c r="G7" s="17"/>
      <c r="H7" s="9"/>
    </row>
    <row r="8" spans="2:8" ht="12.75">
      <c r="B8" s="27">
        <f>((B3+51.9)/0.5)*95*43560*($B$4/12)/10^6</f>
        <v>269.5175175</v>
      </c>
      <c r="C8" s="26" t="s">
        <v>66</v>
      </c>
      <c r="D8" s="10"/>
      <c r="E8" s="20"/>
      <c r="F8" s="9"/>
      <c r="G8" s="17"/>
      <c r="H8" s="9"/>
    </row>
    <row r="9" spans="2:8" ht="12.75">
      <c r="B9" s="27">
        <f>+B8*2</f>
        <v>539.035035</v>
      </c>
      <c r="C9" s="26" t="s">
        <v>67</v>
      </c>
      <c r="D9" s="10"/>
      <c r="E9" s="20"/>
      <c r="F9" s="9"/>
      <c r="G9" s="17"/>
      <c r="H9" s="9"/>
    </row>
    <row r="10" spans="2:8" ht="12.75">
      <c r="B10" s="43">
        <f>+B9/G24</f>
        <v>152.33661233488428</v>
      </c>
      <c r="C10" s="44" t="s">
        <v>68</v>
      </c>
      <c r="D10" s="45"/>
      <c r="E10" s="21"/>
      <c r="F10" s="28"/>
      <c r="G10" s="22"/>
      <c r="H10" s="9"/>
    </row>
    <row r="11" spans="2:8" ht="93.75" customHeight="1">
      <c r="B11" s="40"/>
      <c r="C11" s="26"/>
      <c r="D11" s="10"/>
      <c r="E11" s="20"/>
      <c r="F11" s="9"/>
      <c r="G11" s="9"/>
      <c r="H11" s="9"/>
    </row>
    <row r="12" spans="2:8" ht="12.75">
      <c r="B12" s="40"/>
      <c r="C12" s="26"/>
      <c r="D12" s="10"/>
      <c r="E12" s="20"/>
      <c r="F12" s="9"/>
      <c r="G12" s="9"/>
      <c r="H12" s="9"/>
    </row>
    <row r="13" spans="2:7" ht="15.75">
      <c r="B13" s="49" t="s">
        <v>60</v>
      </c>
      <c r="C13" s="50"/>
      <c r="D13" s="58"/>
      <c r="E13" s="12"/>
      <c r="F13" s="54" t="s">
        <v>61</v>
      </c>
      <c r="G13" s="55"/>
    </row>
    <row r="14" spans="2:7" ht="12.75">
      <c r="B14" s="13"/>
      <c r="C14" s="14"/>
      <c r="D14" s="56" t="s">
        <v>62</v>
      </c>
      <c r="F14" s="16"/>
      <c r="G14" s="33"/>
    </row>
    <row r="15" spans="2:7" ht="12.75">
      <c r="B15" s="31" t="s">
        <v>42</v>
      </c>
      <c r="C15" s="32" t="s">
        <v>43</v>
      </c>
      <c r="D15" s="57"/>
      <c r="F15" s="34" t="s">
        <v>52</v>
      </c>
      <c r="G15" s="35">
        <v>2.5</v>
      </c>
    </row>
    <row r="16" spans="2:7" ht="12.75">
      <c r="B16" s="16" t="s">
        <v>40</v>
      </c>
      <c r="C16" s="9" t="s">
        <v>41</v>
      </c>
      <c r="D16" s="17">
        <v>84</v>
      </c>
      <c r="F16" s="34" t="s">
        <v>53</v>
      </c>
      <c r="G16" s="35">
        <v>44</v>
      </c>
    </row>
    <row r="17" spans="2:7" ht="12.75">
      <c r="B17" s="16" t="s">
        <v>44</v>
      </c>
      <c r="C17" s="9" t="s">
        <v>45</v>
      </c>
      <c r="D17" s="17">
        <v>53.2</v>
      </c>
      <c r="F17" s="34" t="s">
        <v>54</v>
      </c>
      <c r="G17" s="35">
        <f>G16*G15</f>
        <v>110</v>
      </c>
    </row>
    <row r="18" spans="2:7" ht="12.75">
      <c r="B18" s="16" t="s">
        <v>46</v>
      </c>
      <c r="C18" s="9" t="s">
        <v>47</v>
      </c>
      <c r="D18" s="17">
        <v>55</v>
      </c>
      <c r="F18" s="34" t="s">
        <v>55</v>
      </c>
      <c r="G18" s="36">
        <f>G17*43560*7.48/12</f>
        <v>2986764</v>
      </c>
    </row>
    <row r="19" spans="2:7" ht="12.75">
      <c r="B19" s="16" t="s">
        <v>49</v>
      </c>
      <c r="C19" s="9" t="s">
        <v>48</v>
      </c>
      <c r="D19" s="17">
        <v>0</v>
      </c>
      <c r="E19" s="9"/>
      <c r="F19" s="16"/>
      <c r="G19" s="33"/>
    </row>
    <row r="20" spans="2:7" ht="12.75">
      <c r="B20" s="13"/>
      <c r="C20" s="14" t="s">
        <v>50</v>
      </c>
      <c r="D20" s="15">
        <f>SUM(D16:D19)</f>
        <v>192.2</v>
      </c>
      <c r="E20" s="9"/>
      <c r="F20" s="34" t="s">
        <v>56</v>
      </c>
      <c r="G20" s="33">
        <v>4</v>
      </c>
    </row>
    <row r="21" spans="2:7" ht="12.75">
      <c r="B21" s="29"/>
      <c r="C21" s="30" t="s">
        <v>51</v>
      </c>
      <c r="D21" s="22">
        <f>D20/2</f>
        <v>96.1</v>
      </c>
      <c r="E21" s="9"/>
      <c r="F21" s="34" t="s">
        <v>57</v>
      </c>
      <c r="G21" s="37">
        <f>($G$18/1000000)*$G$20</f>
        <v>11.947056</v>
      </c>
    </row>
    <row r="22" spans="3:7" ht="12.75">
      <c r="C22"/>
      <c r="D22"/>
      <c r="E22" s="9"/>
      <c r="F22" s="34" t="s">
        <v>58</v>
      </c>
      <c r="G22" s="37">
        <f>$G$21*8.34</f>
        <v>99.63844704</v>
      </c>
    </row>
    <row r="23" spans="3:7" ht="12.75">
      <c r="C23"/>
      <c r="D23"/>
      <c r="E23" s="9"/>
      <c r="F23" s="16"/>
      <c r="G23" s="33"/>
    </row>
    <row r="24" spans="3:7" ht="12.75">
      <c r="C24"/>
      <c r="D24"/>
      <c r="E24" s="9"/>
      <c r="F24" s="38" t="s">
        <v>64</v>
      </c>
      <c r="G24" s="39">
        <f>+G22-D21</f>
        <v>3.5384470400000083</v>
      </c>
    </row>
    <row r="25" spans="3:7" ht="12.75">
      <c r="C25"/>
      <c r="D25"/>
      <c r="E25" s="9"/>
      <c r="F25" s="8"/>
      <c r="G25" s="11"/>
    </row>
    <row r="26" spans="2:4" ht="15.75">
      <c r="B26" s="53" t="s">
        <v>59</v>
      </c>
      <c r="C26" s="53"/>
      <c r="D26" s="53"/>
    </row>
    <row r="27" ht="12.75">
      <c r="B27" s="1" t="s">
        <v>5</v>
      </c>
    </row>
    <row r="28" spans="3:4" ht="12.75">
      <c r="C28" s="3" t="s">
        <v>3</v>
      </c>
      <c r="D28" s="3" t="s">
        <v>3</v>
      </c>
    </row>
    <row r="29" spans="3:4" ht="12.75">
      <c r="C29" s="3" t="s">
        <v>4</v>
      </c>
      <c r="D29" s="3" t="s">
        <v>4</v>
      </c>
    </row>
    <row r="30" spans="2:4" ht="12.75">
      <c r="B30" s="1" t="s">
        <v>2</v>
      </c>
      <c r="C30" s="3" t="s">
        <v>7</v>
      </c>
      <c r="D30" s="4" t="s">
        <v>8</v>
      </c>
    </row>
    <row r="31" spans="2:4" ht="12.75">
      <c r="B31" t="s">
        <v>6</v>
      </c>
      <c r="C31" s="2">
        <v>7</v>
      </c>
      <c r="D31" s="2">
        <v>5</v>
      </c>
    </row>
    <row r="32" spans="2:4" ht="12.75">
      <c r="B32" t="s">
        <v>9</v>
      </c>
      <c r="C32" s="2">
        <v>7</v>
      </c>
      <c r="D32" s="2">
        <v>6</v>
      </c>
    </row>
    <row r="33" spans="2:4" ht="12.75">
      <c r="B33" t="s">
        <v>10</v>
      </c>
      <c r="C33" s="2">
        <v>26</v>
      </c>
      <c r="D33" s="2">
        <v>16</v>
      </c>
    </row>
    <row r="34" spans="2:4" ht="12.75">
      <c r="B34" t="s">
        <v>11</v>
      </c>
      <c r="C34" s="2">
        <v>15</v>
      </c>
      <c r="D34" s="2">
        <v>13</v>
      </c>
    </row>
    <row r="35" spans="2:6" ht="12.75">
      <c r="B35" t="s">
        <v>12</v>
      </c>
      <c r="C35" s="2">
        <v>26</v>
      </c>
      <c r="D35" s="2">
        <v>18</v>
      </c>
      <c r="F35" s="41"/>
    </row>
    <row r="36" spans="2:6" ht="12.75">
      <c r="B36" t="s">
        <v>13</v>
      </c>
      <c r="C36" s="2">
        <v>7</v>
      </c>
      <c r="D36" s="2">
        <v>9</v>
      </c>
      <c r="F36" s="41"/>
    </row>
    <row r="37" spans="2:6" ht="12.75">
      <c r="B37" t="s">
        <v>14</v>
      </c>
      <c r="C37" s="2">
        <v>8</v>
      </c>
      <c r="D37" s="2">
        <v>8</v>
      </c>
      <c r="F37" s="41"/>
    </row>
    <row r="38" spans="2:13" ht="12.75">
      <c r="B38" t="s">
        <v>15</v>
      </c>
      <c r="C38" s="2">
        <v>7</v>
      </c>
      <c r="D38" s="2">
        <v>3</v>
      </c>
      <c r="F38" s="41"/>
      <c r="K38" s="9"/>
      <c r="L38" s="9"/>
      <c r="M38" s="10"/>
    </row>
    <row r="39" spans="2:6" ht="12.75">
      <c r="B39" t="s">
        <v>38</v>
      </c>
      <c r="C39" s="5">
        <f>(SUM(C31:C38)/8)</f>
        <v>12.875</v>
      </c>
      <c r="D39" s="5">
        <f>(SUM(D31:D38)/8)</f>
        <v>9.75</v>
      </c>
      <c r="E39" t="s">
        <v>65</v>
      </c>
      <c r="F39" s="41" t="s">
        <v>63</v>
      </c>
    </row>
    <row r="40" spans="2:7" ht="38.25">
      <c r="B40" s="7" t="s">
        <v>39</v>
      </c>
      <c r="C40" s="6">
        <f>((C39+51.9)/0.5)*95*43560*($B$4/12)/10^6</f>
        <v>268.05190500000003</v>
      </c>
      <c r="D40" s="6">
        <f>((D39+51.9)/0.5)*95*43560*($B$4/12)/10^6</f>
        <v>255.12003</v>
      </c>
      <c r="E40" s="23">
        <f>SUM(C40:D40)</f>
        <v>523.1719350000001</v>
      </c>
      <c r="F40" s="42">
        <f>+E40/$G$24</f>
        <v>147.85354396599894</v>
      </c>
      <c r="G40" s="24"/>
    </row>
    <row r="41" ht="12.75">
      <c r="F41" s="41"/>
    </row>
    <row r="42" ht="12.75">
      <c r="F42" s="41"/>
    </row>
    <row r="43" spans="2:6" ht="12.75">
      <c r="B43" s="1" t="s">
        <v>21</v>
      </c>
      <c r="F43" s="41"/>
    </row>
    <row r="44" spans="3:6" ht="12.75">
      <c r="C44" s="3" t="s">
        <v>3</v>
      </c>
      <c r="D44" s="3" t="s">
        <v>3</v>
      </c>
      <c r="F44" s="41"/>
    </row>
    <row r="45" spans="3:6" ht="12.75">
      <c r="C45" s="3" t="s">
        <v>4</v>
      </c>
      <c r="D45" s="3" t="s">
        <v>4</v>
      </c>
      <c r="F45" s="41"/>
    </row>
    <row r="46" spans="2:6" ht="12.75">
      <c r="B46" s="1" t="s">
        <v>2</v>
      </c>
      <c r="C46" s="3" t="s">
        <v>7</v>
      </c>
      <c r="D46" s="4" t="s">
        <v>8</v>
      </c>
      <c r="F46" s="41"/>
    </row>
    <row r="47" spans="2:6" ht="12.75">
      <c r="B47" t="s">
        <v>16</v>
      </c>
      <c r="C47" s="2">
        <v>7</v>
      </c>
      <c r="D47" s="2">
        <v>10</v>
      </c>
      <c r="F47" s="41"/>
    </row>
    <row r="48" spans="2:6" ht="12.75">
      <c r="B48" t="s">
        <v>17</v>
      </c>
      <c r="C48" s="2">
        <v>6</v>
      </c>
      <c r="D48" s="2">
        <v>11</v>
      </c>
      <c r="F48" s="41"/>
    </row>
    <row r="49" spans="2:6" ht="12.75">
      <c r="B49" t="s">
        <v>38</v>
      </c>
      <c r="C49" s="2">
        <f>(SUM(C47:C48)/2)</f>
        <v>6.5</v>
      </c>
      <c r="D49" s="2">
        <f>(SUM(D47:D48)/2)</f>
        <v>10.5</v>
      </c>
      <c r="E49" t="s">
        <v>65</v>
      </c>
      <c r="F49" s="41" t="s">
        <v>63</v>
      </c>
    </row>
    <row r="50" spans="2:7" ht="38.25">
      <c r="B50" s="7" t="s">
        <v>39</v>
      </c>
      <c r="C50" s="6">
        <f>((C49+51.9)/0.5)*95*43560*($B$4/12)/10^6</f>
        <v>241.67088</v>
      </c>
      <c r="D50" s="6">
        <f>((D49+51.9)/0.5)*95*43560*($B$4/12)/10^6</f>
        <v>258.22368</v>
      </c>
      <c r="E50" s="23">
        <f>SUM(C50:D50)</f>
        <v>499.89456</v>
      </c>
      <c r="F50" s="42">
        <f>+E50/$G$24</f>
        <v>141.2751284246998</v>
      </c>
      <c r="G50" s="24"/>
    </row>
    <row r="51" ht="12.75">
      <c r="F51" s="41"/>
    </row>
    <row r="52" ht="12.75">
      <c r="F52" s="41"/>
    </row>
    <row r="53" spans="2:6" ht="12.75">
      <c r="B53" s="1" t="s">
        <v>22</v>
      </c>
      <c r="F53" s="41"/>
    </row>
    <row r="54" spans="3:6" ht="12.75">
      <c r="C54" s="3" t="s">
        <v>3</v>
      </c>
      <c r="D54" s="3" t="s">
        <v>3</v>
      </c>
      <c r="F54" s="41"/>
    </row>
    <row r="55" spans="3:6" ht="12.75">
      <c r="C55" s="3" t="s">
        <v>4</v>
      </c>
      <c r="D55" s="3" t="s">
        <v>4</v>
      </c>
      <c r="F55" s="41"/>
    </row>
    <row r="56" spans="2:6" ht="12.75">
      <c r="B56" s="1" t="s">
        <v>2</v>
      </c>
      <c r="C56" s="3" t="s">
        <v>7</v>
      </c>
      <c r="D56" s="4" t="s">
        <v>8</v>
      </c>
      <c r="F56" s="41"/>
    </row>
    <row r="57" spans="2:6" ht="12.75">
      <c r="B57" t="s">
        <v>18</v>
      </c>
      <c r="C57" s="2">
        <v>11</v>
      </c>
      <c r="D57" s="2">
        <v>20</v>
      </c>
      <c r="F57" s="41"/>
    </row>
    <row r="58" spans="2:6" ht="12.75">
      <c r="B58" t="s">
        <v>19</v>
      </c>
      <c r="C58" s="2">
        <v>8</v>
      </c>
      <c r="D58" s="2">
        <v>13</v>
      </c>
      <c r="F58" s="41"/>
    </row>
    <row r="59" spans="2:6" ht="12.75">
      <c r="B59" t="s">
        <v>38</v>
      </c>
      <c r="C59" s="2">
        <f>(SUM(C57:C58))/2</f>
        <v>9.5</v>
      </c>
      <c r="D59" s="2">
        <f>(SUM(D57:D58))/2</f>
        <v>16.5</v>
      </c>
      <c r="E59" t="s">
        <v>65</v>
      </c>
      <c r="F59" s="41" t="s">
        <v>63</v>
      </c>
    </row>
    <row r="60" spans="2:7" ht="38.25">
      <c r="B60" s="7" t="s">
        <v>39</v>
      </c>
      <c r="C60" s="6">
        <f>((C59+51.9)/0.5)*95*43560*($B$4/12)/10^6</f>
        <v>254.08548</v>
      </c>
      <c r="D60" s="6">
        <f>((D59+51.9)/0.5)*95*43560*($B$4/12)/10^6</f>
        <v>283.0528800000001</v>
      </c>
      <c r="E60" s="23">
        <f>SUM(C60:D60)</f>
        <v>537.13836</v>
      </c>
      <c r="F60" s="42">
        <f>+E60/$G$24</f>
        <v>151.80059329077844</v>
      </c>
      <c r="G60" s="24"/>
    </row>
    <row r="61" ht="12.75">
      <c r="F61" s="41"/>
    </row>
    <row r="62" ht="12.75">
      <c r="F62" s="41"/>
    </row>
    <row r="63" spans="2:6" ht="12.75">
      <c r="B63" s="1" t="s">
        <v>23</v>
      </c>
      <c r="F63" s="41"/>
    </row>
    <row r="64" spans="3:6" ht="12.75">
      <c r="C64" s="3" t="s">
        <v>3</v>
      </c>
      <c r="D64" s="3" t="s">
        <v>3</v>
      </c>
      <c r="F64" s="41"/>
    </row>
    <row r="65" spans="3:6" ht="12.75">
      <c r="C65" s="3" t="s">
        <v>4</v>
      </c>
      <c r="D65" s="3" t="s">
        <v>4</v>
      </c>
      <c r="F65" s="41"/>
    </row>
    <row r="66" spans="2:6" ht="12.75">
      <c r="B66" s="1" t="s">
        <v>2</v>
      </c>
      <c r="C66" s="3" t="s">
        <v>7</v>
      </c>
      <c r="D66" s="4" t="s">
        <v>8</v>
      </c>
      <c r="F66" s="41"/>
    </row>
    <row r="67" spans="2:6" ht="12.75">
      <c r="B67" t="s">
        <v>20</v>
      </c>
      <c r="C67" s="2">
        <v>9</v>
      </c>
      <c r="D67" s="2">
        <v>9</v>
      </c>
      <c r="F67" s="41"/>
    </row>
    <row r="68" spans="2:6" ht="12.75">
      <c r="B68" t="s">
        <v>24</v>
      </c>
      <c r="C68" s="2">
        <v>32</v>
      </c>
      <c r="D68" s="2">
        <v>32</v>
      </c>
      <c r="F68" s="41"/>
    </row>
    <row r="69" spans="2:6" ht="12.75">
      <c r="B69" t="s">
        <v>38</v>
      </c>
      <c r="C69" s="2">
        <f>(SUM(C67:C68))/2</f>
        <v>20.5</v>
      </c>
      <c r="D69" s="2">
        <f>(SUM(D67:D68))/2</f>
        <v>20.5</v>
      </c>
      <c r="E69" t="s">
        <v>65</v>
      </c>
      <c r="F69" s="41" t="s">
        <v>63</v>
      </c>
    </row>
    <row r="70" spans="2:7" ht="38.25">
      <c r="B70" s="7" t="s">
        <v>39</v>
      </c>
      <c r="C70" s="6">
        <f>((C69+51.9)/0.5)*95*43560*($B$4/12)/10^6</f>
        <v>299.60568000000006</v>
      </c>
      <c r="D70" s="6">
        <f>((D69+51.9)/0.5)*95*43560*($B$4/12)/10^6</f>
        <v>299.60568000000006</v>
      </c>
      <c r="E70" s="23">
        <f>SUM(C70:D70)</f>
        <v>599.2113600000001</v>
      </c>
      <c r="F70" s="42">
        <f>+E70/$G$24</f>
        <v>169.34303473424282</v>
      </c>
      <c r="G70" s="24"/>
    </row>
    <row r="71" ht="12.75">
      <c r="F71" s="41"/>
    </row>
    <row r="72" ht="12.75">
      <c r="F72" s="41"/>
    </row>
    <row r="73" spans="2:6" ht="12.75">
      <c r="B73" s="1" t="s">
        <v>27</v>
      </c>
      <c r="F73" s="41"/>
    </row>
    <row r="74" spans="3:6" ht="12.75">
      <c r="C74" s="3" t="s">
        <v>3</v>
      </c>
      <c r="D74" s="3" t="s">
        <v>3</v>
      </c>
      <c r="F74" s="41"/>
    </row>
    <row r="75" spans="3:6" ht="12.75">
      <c r="C75" s="3" t="s">
        <v>4</v>
      </c>
      <c r="D75" s="3" t="s">
        <v>4</v>
      </c>
      <c r="F75" s="41"/>
    </row>
    <row r="76" spans="2:6" ht="12.75">
      <c r="B76" s="1" t="s">
        <v>2</v>
      </c>
      <c r="C76" s="3" t="s">
        <v>7</v>
      </c>
      <c r="D76" s="4" t="s">
        <v>8</v>
      </c>
      <c r="F76" s="41"/>
    </row>
    <row r="77" spans="2:6" ht="12.75">
      <c r="B77" t="s">
        <v>25</v>
      </c>
      <c r="C77" s="2">
        <v>21</v>
      </c>
      <c r="D77" s="2">
        <v>28</v>
      </c>
      <c r="F77" s="41"/>
    </row>
    <row r="78" spans="2:6" ht="12.75">
      <c r="B78" t="s">
        <v>26</v>
      </c>
      <c r="C78" s="2">
        <v>5</v>
      </c>
      <c r="D78" s="2">
        <v>3</v>
      </c>
      <c r="F78" s="41"/>
    </row>
    <row r="79" spans="2:6" ht="12.75">
      <c r="B79" t="s">
        <v>38</v>
      </c>
      <c r="C79" s="2">
        <f>(SUM(C77:C78))/2</f>
        <v>13</v>
      </c>
      <c r="D79" s="2">
        <f>(SUM(D77:D78))/2</f>
        <v>15.5</v>
      </c>
      <c r="E79" t="s">
        <v>65</v>
      </c>
      <c r="F79" s="41" t="s">
        <v>63</v>
      </c>
    </row>
    <row r="80" spans="2:7" ht="38.25">
      <c r="B80" s="7" t="s">
        <v>39</v>
      </c>
      <c r="C80" s="6">
        <f>((C79+51.9)/0.5)*95*43560*($B$4/12)/10^6</f>
        <v>268.5691800000001</v>
      </c>
      <c r="D80" s="6">
        <f>((D79+51.9)/0.5)*95*43560*($B$4/12)/10^6</f>
        <v>278.91468000000003</v>
      </c>
      <c r="E80" s="23">
        <f>SUM(C80:D80)</f>
        <v>547.48386</v>
      </c>
      <c r="F80" s="42">
        <f>+E80/$G$24</f>
        <v>154.72433353135582</v>
      </c>
      <c r="G80" s="24"/>
    </row>
    <row r="81" ht="12.75">
      <c r="F81" s="41"/>
    </row>
    <row r="82" ht="12.75">
      <c r="F82" s="41"/>
    </row>
    <row r="83" spans="2:6" ht="12.75">
      <c r="B83" s="1" t="s">
        <v>33</v>
      </c>
      <c r="F83" s="41"/>
    </row>
    <row r="84" spans="3:6" ht="12.75">
      <c r="C84" s="3" t="s">
        <v>3</v>
      </c>
      <c r="D84" s="3" t="s">
        <v>3</v>
      </c>
      <c r="F84" s="41"/>
    </row>
    <row r="85" spans="3:6" ht="12.75">
      <c r="C85" s="3" t="s">
        <v>4</v>
      </c>
      <c r="D85" s="3" t="s">
        <v>4</v>
      </c>
      <c r="F85" s="41"/>
    </row>
    <row r="86" spans="2:6" ht="12.75">
      <c r="B86" s="1" t="s">
        <v>2</v>
      </c>
      <c r="C86" s="3" t="s">
        <v>7</v>
      </c>
      <c r="D86" s="4" t="s">
        <v>8</v>
      </c>
      <c r="F86" s="41"/>
    </row>
    <row r="87" spans="2:6" ht="12.75">
      <c r="B87" t="s">
        <v>28</v>
      </c>
      <c r="C87" s="2">
        <v>6</v>
      </c>
      <c r="D87" s="2">
        <v>7</v>
      </c>
      <c r="F87" s="41"/>
    </row>
    <row r="88" spans="2:6" ht="12.75">
      <c r="B88" t="s">
        <v>29</v>
      </c>
      <c r="C88" s="2">
        <v>39</v>
      </c>
      <c r="D88" s="2">
        <v>19</v>
      </c>
      <c r="F88" s="41"/>
    </row>
    <row r="89" spans="2:6" ht="12.75">
      <c r="B89" t="s">
        <v>30</v>
      </c>
      <c r="C89" s="2">
        <v>17</v>
      </c>
      <c r="D89" s="2">
        <v>17</v>
      </c>
      <c r="F89" s="41"/>
    </row>
    <row r="90" spans="2:6" ht="12.75">
      <c r="B90" t="s">
        <v>31</v>
      </c>
      <c r="C90" s="2">
        <v>7</v>
      </c>
      <c r="D90" s="2">
        <v>24</v>
      </c>
      <c r="F90" s="41"/>
    </row>
    <row r="91" spans="2:6" ht="12.75">
      <c r="B91" t="s">
        <v>32</v>
      </c>
      <c r="C91" s="2">
        <v>7</v>
      </c>
      <c r="D91" s="2">
        <v>9</v>
      </c>
      <c r="F91" s="41"/>
    </row>
    <row r="92" spans="2:6" ht="12.75">
      <c r="B92" t="s">
        <v>38</v>
      </c>
      <c r="C92" s="2">
        <f>(SUM(C87:C91))/5</f>
        <v>15.2</v>
      </c>
      <c r="D92" s="2">
        <f>(SUM(D87:D91))/5</f>
        <v>15.2</v>
      </c>
      <c r="E92" t="s">
        <v>65</v>
      </c>
      <c r="F92" s="41" t="s">
        <v>63</v>
      </c>
    </row>
    <row r="93" spans="2:7" ht="38.25">
      <c r="B93" s="7" t="s">
        <v>39</v>
      </c>
      <c r="C93" s="6">
        <f>((C92+51.9)/0.5)*95*43560*($B$4/12)/10^6</f>
        <v>277.67321999999996</v>
      </c>
      <c r="D93" s="6">
        <f>((D92+51.9)/0.5)*95*43560*($B$4/12)/10^6</f>
        <v>277.67321999999996</v>
      </c>
      <c r="E93" s="23">
        <f>SUM(C93:D93)</f>
        <v>555.3464399999999</v>
      </c>
      <c r="F93" s="42">
        <f>+E93/$G$24</f>
        <v>156.9463761141946</v>
      </c>
      <c r="G93" s="24"/>
    </row>
    <row r="94" ht="12.75">
      <c r="F94" s="41"/>
    </row>
    <row r="95" ht="12.75">
      <c r="F95" s="41"/>
    </row>
    <row r="96" spans="2:6" ht="12.75">
      <c r="B96" s="1" t="s">
        <v>37</v>
      </c>
      <c r="F96" s="41"/>
    </row>
    <row r="97" spans="3:6" ht="12.75">
      <c r="C97" s="3" t="s">
        <v>3</v>
      </c>
      <c r="D97" s="3" t="s">
        <v>3</v>
      </c>
      <c r="F97" s="41"/>
    </row>
    <row r="98" spans="3:6" ht="12.75">
      <c r="C98" s="3" t="s">
        <v>4</v>
      </c>
      <c r="D98" s="3" t="s">
        <v>4</v>
      </c>
      <c r="F98" s="41"/>
    </row>
    <row r="99" spans="2:6" ht="12.75">
      <c r="B99" s="1" t="s">
        <v>2</v>
      </c>
      <c r="C99" s="3" t="s">
        <v>7</v>
      </c>
      <c r="D99" s="4" t="s">
        <v>8</v>
      </c>
      <c r="F99" s="41"/>
    </row>
    <row r="100" spans="2:6" ht="12.75">
      <c r="B100" t="s">
        <v>34</v>
      </c>
      <c r="C100" s="2">
        <v>8</v>
      </c>
      <c r="D100" s="2">
        <v>18</v>
      </c>
      <c r="F100" s="41"/>
    </row>
    <row r="101" spans="2:6" ht="12.75">
      <c r="B101" t="s">
        <v>35</v>
      </c>
      <c r="C101" s="2">
        <v>7</v>
      </c>
      <c r="D101" s="2">
        <v>13</v>
      </c>
      <c r="F101" s="41"/>
    </row>
    <row r="102" spans="2:6" ht="12.75">
      <c r="B102" t="s">
        <v>36</v>
      </c>
      <c r="C102" s="2">
        <v>13</v>
      </c>
      <c r="D102" s="2">
        <v>18</v>
      </c>
      <c r="F102" s="41"/>
    </row>
    <row r="103" spans="2:6" ht="12.75">
      <c r="B103" t="s">
        <v>38</v>
      </c>
      <c r="C103" s="5">
        <f>(SUM(C100:C102)/3)</f>
        <v>9.333333333333334</v>
      </c>
      <c r="D103" s="5">
        <f>(SUM(D100:D102)/3)</f>
        <v>16.333333333333332</v>
      </c>
      <c r="E103" t="s">
        <v>65</v>
      </c>
      <c r="F103" s="41" t="s">
        <v>63</v>
      </c>
    </row>
    <row r="104" spans="2:7" ht="38.25">
      <c r="B104" s="7" t="s">
        <v>39</v>
      </c>
      <c r="C104" s="6">
        <f>((C103+51.9)/0.5)*95*43560*($B$4/12)/10^6</f>
        <v>253.39578</v>
      </c>
      <c r="D104" s="6">
        <f>((D103+51.9)/0.5)*95*43560*($B$4/12)/10^6</f>
        <v>282.36318</v>
      </c>
      <c r="E104" s="23">
        <f>SUM(C104:D104)</f>
        <v>535.75896</v>
      </c>
      <c r="F104" s="42">
        <f>+E104/$G$24</f>
        <v>151.41076125870143</v>
      </c>
      <c r="G104" s="24"/>
    </row>
    <row r="105" ht="12.75">
      <c r="F105" s="41"/>
    </row>
    <row r="106" ht="12.75">
      <c r="F106" s="41"/>
    </row>
    <row r="107" ht="12.75">
      <c r="F107" s="41"/>
    </row>
    <row r="108" ht="12.75">
      <c r="F108" s="41"/>
    </row>
    <row r="109" ht="12.75">
      <c r="F109" s="41"/>
    </row>
    <row r="110" ht="12.75">
      <c r="F110" s="41"/>
    </row>
    <row r="111" ht="12.75">
      <c r="F111" s="41"/>
    </row>
    <row r="112" ht="12.75">
      <c r="F112" s="41"/>
    </row>
    <row r="113" ht="12.75">
      <c r="F113" s="41"/>
    </row>
  </sheetData>
  <mergeCells count="6">
    <mergeCell ref="B6:G6"/>
    <mergeCell ref="B1:G1"/>
    <mergeCell ref="B26:D26"/>
    <mergeCell ref="F13:G13"/>
    <mergeCell ref="D14:D15"/>
    <mergeCell ref="B13:D13"/>
  </mergeCells>
  <printOptions/>
  <pageMargins left="0.75" right="0.75" top="1" bottom="1" header="0.5" footer="0.5"/>
  <pageSetup horizontalDpi="600" verticalDpi="600" orientation="portrait" scale="89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Artesian Water Company,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b_carbau</dc:creator>
  <cp:keywords/>
  <dc:description/>
  <cp:lastModifiedBy> </cp:lastModifiedBy>
  <cp:lastPrinted>2009-06-19T18:06:51Z</cp:lastPrinted>
  <dcterms:created xsi:type="dcterms:W3CDTF">2009-05-01T16:45:11Z</dcterms:created>
  <dcterms:modified xsi:type="dcterms:W3CDTF">2009-06-19T18:16:35Z</dcterms:modified>
  <cp:category/>
  <cp:version/>
  <cp:contentType/>
  <cp:contentStatus/>
</cp:coreProperties>
</file>