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1"/>
  </bookViews>
  <sheets>
    <sheet name="Summary" sheetId="1" r:id="rId1"/>
    <sheet name="Fields" sheetId="2" r:id="rId2"/>
    <sheet name="South" sheetId="3" r:id="rId3"/>
    <sheet name="North" sheetId="4" r:id="rId4"/>
    <sheet name="West" sheetId="5" r:id="rId5"/>
    <sheet name="East" sheetId="6" r:id="rId6"/>
  </sheets>
  <definedNames>
    <definedName name="FLOW">'Summary'!$A$19:$D$25</definedName>
    <definedName name="_xlnm.Print_Area" localSheetId="1">'Fields'!$A$1:$P$127</definedName>
    <definedName name="_xlnm.Print_Area" localSheetId="0">'Summary'!$A$1:$S$51</definedName>
    <definedName name="Segment">'Summary'!$F$19:$H$27</definedName>
  </definedNames>
  <calcPr fullCalcOnLoad="1"/>
</workbook>
</file>

<file path=xl/sharedStrings.xml><?xml version="1.0" encoding="utf-8"?>
<sst xmlns="http://schemas.openxmlformats.org/spreadsheetml/2006/main" count="633" uniqueCount="193">
  <si>
    <t>MINIMUM OPERATING POINT</t>
  </si>
  <si>
    <t>= DESIGN FLOW (GPM)</t>
  </si>
  <si>
    <t>= TDH AT DESIGN FLOW</t>
  </si>
  <si>
    <t>SYSTEM CURVE</t>
  </si>
  <si>
    <t>= STARTING FLOW (GPM)</t>
  </si>
  <si>
    <t>= FLOW STEP (GPM)</t>
  </si>
  <si>
    <t>RUN</t>
  </si>
  <si>
    <t>SECTION</t>
  </si>
  <si>
    <t>DIA.</t>
  </si>
  <si>
    <t>EQ. FT.</t>
  </si>
  <si>
    <t>"C"</t>
  </si>
  <si>
    <t>FLOW</t>
  </si>
  <si>
    <t>DYN. HD.</t>
  </si>
  <si>
    <t>SUMMARY</t>
  </si>
  <si>
    <t>LENGTH</t>
  </si>
  <si>
    <t>L/D</t>
  </si>
  <si>
    <t>90'S</t>
  </si>
  <si>
    <t>45'S</t>
  </si>
  <si>
    <t>T RUN</t>
  </si>
  <si>
    <t>T BRANCH</t>
  </si>
  <si>
    <t>VALVE</t>
  </si>
  <si>
    <t>CHK VALVE</t>
  </si>
  <si>
    <t>REDUCER</t>
  </si>
  <si>
    <t>EQ. LENGTH</t>
  </si>
  <si>
    <t>TOTAL</t>
  </si>
  <si>
    <t>TOTAL DYNAMIC HEAD LOSS CALCULATIONS</t>
  </si>
  <si>
    <t>HEIGHT OF IRRIGATION EQUIP:</t>
  </si>
  <si>
    <t>STARTING ELEV:</t>
  </si>
  <si>
    <t>HIGH SITE ELEV</t>
  </si>
  <si>
    <t>STATIC HEAD:</t>
  </si>
  <si>
    <t>FRICTION HEAD:</t>
  </si>
  <si>
    <t>TDH:</t>
  </si>
  <si>
    <t>ANSRWRF</t>
  </si>
  <si>
    <t>= Facility Design Flow (MGD)</t>
  </si>
  <si>
    <t>Max Design Flow</t>
  </si>
  <si>
    <t>= Days /Week</t>
  </si>
  <si>
    <t>= Hours/Day</t>
  </si>
  <si>
    <t>Operational</t>
  </si>
  <si>
    <t>= Months/Year</t>
  </si>
  <si>
    <t>= Maximum Design Flow (gpm)</t>
  </si>
  <si>
    <t>GPM</t>
  </si>
  <si>
    <t>Segment</t>
  </si>
  <si>
    <t>Feeding</t>
  </si>
  <si>
    <t>S</t>
  </si>
  <si>
    <t>1-7</t>
  </si>
  <si>
    <t>N</t>
  </si>
  <si>
    <t>2-7</t>
  </si>
  <si>
    <t>6-7</t>
  </si>
  <si>
    <t>7</t>
  </si>
  <si>
    <t>3</t>
  </si>
  <si>
    <t>4,2,5</t>
  </si>
  <si>
    <t>2,5</t>
  </si>
  <si>
    <t>5</t>
  </si>
  <si>
    <t>E</t>
  </si>
  <si>
    <t>W</t>
  </si>
  <si>
    <t>Flow</t>
  </si>
  <si>
    <t>Dia.</t>
  </si>
  <si>
    <t>Run</t>
  </si>
  <si>
    <t>TDH</t>
  </si>
  <si>
    <t>Friction</t>
  </si>
  <si>
    <t>Static</t>
  </si>
  <si>
    <t>Starting El.</t>
  </si>
  <si>
    <t>PSI</t>
  </si>
  <si>
    <t>Field Loss</t>
  </si>
  <si>
    <t>Nozzle</t>
  </si>
  <si>
    <t>Total</t>
  </si>
  <si>
    <t>= No. of Pumps Provided</t>
  </si>
  <si>
    <t>= Minimum Flow per Pump</t>
  </si>
  <si>
    <t>= @ PSI</t>
  </si>
  <si>
    <r>
      <t xml:space="preserve">PR. </t>
    </r>
    <r>
      <rPr>
        <b/>
        <sz val="10"/>
        <rFont val="Arial"/>
        <family val="2"/>
      </rPr>
      <t>FIELD</t>
    </r>
    <r>
      <rPr>
        <sz val="8"/>
        <rFont val="Times New Roman"/>
        <family val="1"/>
      </rPr>
      <t xml:space="preserve"> EQUIPMENT FLOW RATE PER B. WALLS:</t>
    </r>
  </si>
  <si>
    <t>FIELD 1 (G)</t>
  </si>
  <si>
    <t>IF HR&gt;24</t>
  </si>
  <si>
    <t xml:space="preserve">speed at </t>
  </si>
  <si>
    <t>Q ELSE</t>
  </si>
  <si>
    <t xml:space="preserve">last </t>
  </si>
  <si>
    <t>SUB AREA</t>
  </si>
  <si>
    <t>AREA</t>
  </si>
  <si>
    <t>MAX APPLICATION RATE</t>
  </si>
  <si>
    <t>MAX QUANITY OF WATER APPLIED</t>
  </si>
  <si>
    <t>ACTUAL APPLICATION RATE</t>
  </si>
  <si>
    <t>ACTUAL QUANTITY APPLIED</t>
  </si>
  <si>
    <t>RUN TIME MAX</t>
  </si>
  <si>
    <t>.5 Q</t>
  </si>
  <si>
    <t>Length to last tower</t>
  </si>
  <si>
    <t>% full</t>
  </si>
  <si>
    <t>area</t>
  </si>
  <si>
    <t>circumference</t>
  </si>
  <si>
    <t>tower</t>
  </si>
  <si>
    <t>time-full cycle</t>
  </si>
  <si>
    <t>flow</t>
  </si>
  <si>
    <t>total vol appl</t>
  </si>
  <si>
    <t>inches appl</t>
  </si>
  <si>
    <t>rate</t>
  </si>
  <si>
    <t>ACRES</t>
  </si>
  <si>
    <t>SQFT</t>
  </si>
  <si>
    <t>IN/WEEK</t>
  </si>
  <si>
    <t>IN/DAY</t>
  </si>
  <si>
    <t>CF/DAY</t>
  </si>
  <si>
    <t>GAL/DAY</t>
  </si>
  <si>
    <t>Number heads</t>
  </si>
  <si>
    <t>HOUR/WK</t>
  </si>
  <si>
    <t>(ft)</t>
  </si>
  <si>
    <t>circle</t>
  </si>
  <si>
    <t>(sq ft)</t>
  </si>
  <si>
    <t>(fpm)</t>
  </si>
  <si>
    <t>(min)</t>
  </si>
  <si>
    <t>(hr)</t>
  </si>
  <si>
    <t>(gpm)</t>
  </si>
  <si>
    <t>(gal)</t>
  </si>
  <si>
    <t>(cu ft)</t>
  </si>
  <si>
    <t>(in)</t>
  </si>
  <si>
    <t>(in/hr)</t>
  </si>
  <si>
    <t>PR</t>
  </si>
  <si>
    <t>1W-1</t>
  </si>
  <si>
    <t>1W-2</t>
  </si>
  <si>
    <t>1W-3</t>
  </si>
  <si>
    <t>1W-4</t>
  </si>
  <si>
    <t>1W-5</t>
  </si>
  <si>
    <t>1W-6</t>
  </si>
  <si>
    <t>1W-7</t>
  </si>
  <si>
    <t>1W-8</t>
  </si>
  <si>
    <t>1W-9</t>
  </si>
  <si>
    <t>1W-10</t>
  </si>
  <si>
    <t>1W-11</t>
  </si>
  <si>
    <t>1W-12</t>
  </si>
  <si>
    <t>EX</t>
  </si>
  <si>
    <t>SPRAY 1</t>
  </si>
  <si>
    <t>SPRAY 2</t>
  </si>
  <si>
    <t>didn't provide</t>
  </si>
  <si>
    <t>SPRAY 3</t>
  </si>
  <si>
    <t>SPRAY 4</t>
  </si>
  <si>
    <t>SPRAY 5</t>
  </si>
  <si>
    <t>SPRAY 6</t>
  </si>
  <si>
    <t>GROSS</t>
  </si>
  <si>
    <t>% COVERAGE</t>
  </si>
  <si>
    <t>FIELD 2 (F)</t>
  </si>
  <si>
    <t>FIELD 3 (E)</t>
  </si>
  <si>
    <t>3W-1</t>
  </si>
  <si>
    <t>FIELD 4 (D)</t>
  </si>
  <si>
    <t>4W-1</t>
  </si>
  <si>
    <t>4W-2</t>
  </si>
  <si>
    <t>4W-3</t>
  </si>
  <si>
    <t>FIELD 5 (C )</t>
  </si>
  <si>
    <t>5W-1</t>
  </si>
  <si>
    <t>5W-2</t>
  </si>
  <si>
    <t>5W-3</t>
  </si>
  <si>
    <t>FIELD 6 (B)</t>
  </si>
  <si>
    <t>6W-1</t>
  </si>
  <si>
    <t>6W-2</t>
  </si>
  <si>
    <t>6W-3</t>
  </si>
  <si>
    <t>6W-4</t>
  </si>
  <si>
    <t>6W-5</t>
  </si>
  <si>
    <t>6W-6</t>
  </si>
  <si>
    <t>6W-7</t>
  </si>
  <si>
    <t>FIELD 7 (A)</t>
  </si>
  <si>
    <t>7W-1</t>
  </si>
  <si>
    <t>7W-2</t>
  </si>
  <si>
    <t>SPRAY 7</t>
  </si>
  <si>
    <t>TOTAL (ALL FIELDS)</t>
  </si>
  <si>
    <t>GROSS (ALL FIELDS)</t>
  </si>
  <si>
    <t>SPRAY FIELD</t>
  </si>
  <si>
    <t>TOTAL FLOW</t>
  </si>
  <si>
    <t>existing equip</t>
  </si>
  <si>
    <t>proposed field</t>
  </si>
  <si>
    <t>proposed woods</t>
  </si>
  <si>
    <t>PUMP STATION FLOW RATE</t>
  </si>
  <si>
    <t>SOLID SETS</t>
  </si>
  <si>
    <t>OPTIONS</t>
  </si>
  <si>
    <t>DIA (FT)</t>
  </si>
  <si>
    <t>FLOW (GPM)</t>
  </si>
  <si>
    <t>AREA (SQ FT)</t>
  </si>
  <si>
    <t>IN/HR</t>
  </si>
  <si>
    <t>USE</t>
  </si>
  <si>
    <t>= Inch per Week Application</t>
  </si>
  <si>
    <t>GPM Hrs</t>
  </si>
  <si>
    <t>GIVEN IN/WK</t>
  </si>
  <si>
    <t>Given Hrs/wk</t>
  </si>
  <si>
    <t>Given Hrs/wk - GPM</t>
  </si>
  <si>
    <t>= Operating Hours/Week</t>
  </si>
  <si>
    <t>Given in/wk&amp;mo</t>
  </si>
  <si>
    <t>Capacity (avg gpd)</t>
  </si>
  <si>
    <t>Avg GPD</t>
  </si>
  <si>
    <t>Field</t>
  </si>
  <si>
    <t>Wet Acres</t>
  </si>
  <si>
    <t>Field Capacity and Effluent Transmission Evaluation</t>
  </si>
  <si>
    <t>WETTED FIELD AREAS</t>
  </si>
  <si>
    <t>Spray Field 1</t>
  </si>
  <si>
    <t>Spray Field 2</t>
  </si>
  <si>
    <t>Spray Field 3</t>
  </si>
  <si>
    <t>Spray Field 4</t>
  </si>
  <si>
    <t>Spray Field 5</t>
  </si>
  <si>
    <t>Spray Field 6</t>
  </si>
  <si>
    <t>Spray Field 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</si>
</sst>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00"/>
    <numFmt numFmtId="170" formatCode="0.00000000"/>
    <numFmt numFmtId="171" formatCode="0.0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.0000"/>
  </numFmts>
  <fonts count="11">
    <font>
      <sz val="8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14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49" fontId="0" fillId="0" borderId="0" xfId="0" applyNumberFormat="1" applyAlignment="1">
      <alignment horizontal="right"/>
    </xf>
    <xf numFmtId="1" fontId="0" fillId="2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3" borderId="0" xfId="0" applyFill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4" borderId="0" xfId="0" applyFill="1" applyAlignment="1">
      <alignment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8" fillId="4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9" fontId="0" fillId="0" borderId="0" xfId="21" applyAlignment="1">
      <alignment/>
    </xf>
    <xf numFmtId="164" fontId="0" fillId="0" borderId="0" xfId="0" applyNumberFormat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176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0" xfId="0" applyNumberFormat="1" applyBorder="1" applyAlignment="1">
      <alignment/>
    </xf>
    <xf numFmtId="3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2" fontId="0" fillId="0" borderId="0" xfId="0" applyNumberForma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4" borderId="3" xfId="0" applyFill="1" applyBorder="1" applyAlignment="1">
      <alignment horizontal="center"/>
    </xf>
    <xf numFmtId="9" fontId="0" fillId="0" borderId="1" xfId="2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3" fontId="0" fillId="4" borderId="0" xfId="0" applyNumberFormat="1" applyFill="1" applyAlignment="1">
      <alignment/>
    </xf>
    <xf numFmtId="4" fontId="0" fillId="4" borderId="0" xfId="0" applyNumberFormat="1" applyFill="1" applyAlignment="1">
      <alignment/>
    </xf>
    <xf numFmtId="0" fontId="0" fillId="0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workbookViewId="0" topLeftCell="A1">
      <selection activeCell="R39" sqref="R39"/>
    </sheetView>
  </sheetViews>
  <sheetFormatPr defaultColWidth="9.33203125" defaultRowHeight="11.25"/>
  <cols>
    <col min="1" max="1" width="10.66015625" style="14" bestFit="1" customWidth="1"/>
    <col min="2" max="16384" width="9.33203125" style="14" customWidth="1"/>
  </cols>
  <sheetData>
    <row r="1" ht="11.25">
      <c r="A1" s="14" t="s">
        <v>32</v>
      </c>
    </row>
    <row r="2" ht="11.25">
      <c r="A2" s="14" t="s">
        <v>184</v>
      </c>
    </row>
    <row r="4" ht="11.25">
      <c r="A4" s="14" t="s">
        <v>34</v>
      </c>
    </row>
    <row r="6" spans="1:7" ht="11.25">
      <c r="A6" s="75">
        <f>+D26/10^6</f>
        <v>7.074880450654763</v>
      </c>
      <c r="B6" s="15" t="s">
        <v>33</v>
      </c>
      <c r="F6" s="14">
        <v>6</v>
      </c>
      <c r="G6" s="15" t="s">
        <v>66</v>
      </c>
    </row>
    <row r="7" spans="2:15" ht="11.25">
      <c r="B7" s="14" t="s">
        <v>37</v>
      </c>
      <c r="F7" s="14">
        <f>+A12/F6</f>
        <v>4127.013596215278</v>
      </c>
      <c r="G7" s="15" t="s">
        <v>67</v>
      </c>
      <c r="O7" s="80"/>
    </row>
    <row r="8" spans="1:7" ht="11.25">
      <c r="A8" s="94">
        <v>8</v>
      </c>
      <c r="B8" s="15" t="s">
        <v>36</v>
      </c>
      <c r="E8" s="14">
        <v>24</v>
      </c>
      <c r="F8" s="14">
        <f>MAX(R19:R22)</f>
        <v>145.9895321426376</v>
      </c>
      <c r="G8" s="15" t="s">
        <v>68</v>
      </c>
    </row>
    <row r="9" spans="1:5" ht="11.25">
      <c r="A9" s="94">
        <v>5</v>
      </c>
      <c r="B9" s="15" t="s">
        <v>35</v>
      </c>
      <c r="E9" s="14">
        <v>7</v>
      </c>
    </row>
    <row r="10" spans="1:2" ht="11.25">
      <c r="A10" s="94">
        <v>10</v>
      </c>
      <c r="B10" s="15" t="s">
        <v>38</v>
      </c>
    </row>
    <row r="12" spans="1:2" ht="11.25">
      <c r="A12" s="14">
        <f>(+A6*10^6)/1440*(24/A8)*(7/A9)*(12/A10)</f>
        <v>24762.08157729167</v>
      </c>
      <c r="B12" s="15" t="s">
        <v>39</v>
      </c>
    </row>
    <row r="13" ht="11.25">
      <c r="B13" s="15"/>
    </row>
    <row r="14" spans="1:2" ht="11.25">
      <c r="A14" s="95">
        <v>1.65</v>
      </c>
      <c r="B14" s="15" t="s">
        <v>173</v>
      </c>
    </row>
    <row r="15" spans="1:5" ht="11.25">
      <c r="A15" s="14">
        <f>+A8*A9</f>
        <v>40</v>
      </c>
      <c r="B15" s="15" t="s">
        <v>178</v>
      </c>
      <c r="E15" s="14">
        <f>+E9*E8</f>
        <v>168</v>
      </c>
    </row>
    <row r="16" spans="2:12" ht="11.25">
      <c r="B16" s="15"/>
      <c r="K16" s="14" t="s">
        <v>61</v>
      </c>
      <c r="L16" s="14">
        <v>21</v>
      </c>
    </row>
    <row r="18" spans="1:18" ht="11.25">
      <c r="A18" s="14" t="s">
        <v>182</v>
      </c>
      <c r="B18" s="14" t="s">
        <v>40</v>
      </c>
      <c r="C18" s="14" t="s">
        <v>183</v>
      </c>
      <c r="D18" s="14" t="s">
        <v>181</v>
      </c>
      <c r="F18" s="14" t="s">
        <v>41</v>
      </c>
      <c r="G18" s="14" t="s">
        <v>40</v>
      </c>
      <c r="H18" s="14" t="s">
        <v>56</v>
      </c>
      <c r="I18" s="14" t="s">
        <v>59</v>
      </c>
      <c r="K18" s="14" t="s">
        <v>57</v>
      </c>
      <c r="L18" s="14" t="s">
        <v>59</v>
      </c>
      <c r="M18" s="14" t="s">
        <v>60</v>
      </c>
      <c r="N18" s="14" t="s">
        <v>58</v>
      </c>
      <c r="O18" s="14" t="s">
        <v>62</v>
      </c>
      <c r="P18" s="14" t="s">
        <v>63</v>
      </c>
      <c r="Q18" s="14" t="s">
        <v>64</v>
      </c>
      <c r="R18" s="14" t="s">
        <v>65</v>
      </c>
    </row>
    <row r="19" spans="1:18" ht="11.25">
      <c r="A19" s="14">
        <v>1</v>
      </c>
      <c r="B19" s="14">
        <f>+Fields!Q26</f>
        <v>9415.997940340907</v>
      </c>
      <c r="C19" s="75">
        <f>+Fields!C24</f>
        <v>504.45661157024796</v>
      </c>
      <c r="D19" s="14">
        <f>+Fields!M24</f>
        <v>2690522.941071429</v>
      </c>
      <c r="F19" s="14">
        <v>1</v>
      </c>
      <c r="G19" s="14">
        <f>+A32</f>
        <v>24759.892857481056</v>
      </c>
      <c r="H19" s="94">
        <v>24</v>
      </c>
      <c r="I19" s="18">
        <f>+South!C20</f>
        <v>10.813310692860405</v>
      </c>
      <c r="K19" s="14" t="s">
        <v>43</v>
      </c>
      <c r="L19" s="18">
        <f>+South!J5</f>
        <v>94.2675114580714</v>
      </c>
      <c r="M19" s="18">
        <f>+South!J4</f>
        <v>34</v>
      </c>
      <c r="N19" s="18">
        <f>SUM(L19:M19)</f>
        <v>128.2675114580714</v>
      </c>
      <c r="O19" s="14">
        <f>+N19/2.31</f>
        <v>55.52706123726034</v>
      </c>
      <c r="P19" s="14">
        <v>20</v>
      </c>
      <c r="Q19" s="14">
        <v>40</v>
      </c>
      <c r="R19" s="14">
        <f>SUM(O19:Q19)</f>
        <v>115.52706123726034</v>
      </c>
    </row>
    <row r="20" spans="1:18" ht="11.25">
      <c r="A20" s="14">
        <v>2</v>
      </c>
      <c r="B20" s="14">
        <f>+Fields!Q40</f>
        <v>1951.399822443182</v>
      </c>
      <c r="C20" s="75">
        <f>+Fields!C38</f>
        <v>104.54511019283747</v>
      </c>
      <c r="D20" s="14">
        <f>+Fields!M38</f>
        <v>557592.0919642858</v>
      </c>
      <c r="F20" s="14">
        <v>2</v>
      </c>
      <c r="G20" s="14">
        <f>+A34</f>
        <v>9415.997940340907</v>
      </c>
      <c r="H20" s="94">
        <v>24</v>
      </c>
      <c r="I20" s="18">
        <f>+South!D20</f>
        <v>83.45420076521098</v>
      </c>
      <c r="K20" s="14" t="s">
        <v>45</v>
      </c>
      <c r="L20" s="18">
        <f>+North!J5</f>
        <v>175.63581924949278</v>
      </c>
      <c r="M20" s="18">
        <f>+North!J4</f>
        <v>23</v>
      </c>
      <c r="N20" s="18">
        <f>SUM(L20:M20)</f>
        <v>198.63581924949278</v>
      </c>
      <c r="O20" s="14">
        <f>+N20/2.31</f>
        <v>85.98953214263757</v>
      </c>
      <c r="P20" s="14">
        <v>20</v>
      </c>
      <c r="Q20" s="14">
        <v>40</v>
      </c>
      <c r="R20" s="14">
        <f>SUM(O20:Q20)</f>
        <v>145.9895321426376</v>
      </c>
    </row>
    <row r="21" spans="1:18" ht="11.25">
      <c r="A21" s="14">
        <v>3</v>
      </c>
      <c r="B21" s="14">
        <f>+Fields!Q54</f>
        <v>1942.345108901515</v>
      </c>
      <c r="C21" s="75">
        <f>+Fields!C52</f>
        <v>104.06000918273645</v>
      </c>
      <c r="D21" s="14">
        <f>+Fields!M52</f>
        <v>555004.8022619047</v>
      </c>
      <c r="F21" s="14">
        <v>3</v>
      </c>
      <c r="G21" s="14">
        <f>+A37</f>
        <v>15343.894917140151</v>
      </c>
      <c r="H21" s="94">
        <v>24</v>
      </c>
      <c r="I21" s="18">
        <f>+North!D20</f>
        <v>82.46325332032994</v>
      </c>
      <c r="K21" s="14" t="s">
        <v>54</v>
      </c>
      <c r="L21" s="18">
        <f>+West!J5</f>
        <v>129.1723924189097</v>
      </c>
      <c r="M21" s="18">
        <f>+West!J4</f>
        <v>27</v>
      </c>
      <c r="N21" s="18">
        <f>SUM(L21:M21)</f>
        <v>156.1723924189097</v>
      </c>
      <c r="O21" s="14">
        <f>+N21/2.31</f>
        <v>67.60709628524229</v>
      </c>
      <c r="P21" s="14">
        <v>20</v>
      </c>
      <c r="Q21" s="14">
        <v>40</v>
      </c>
      <c r="R21" s="14">
        <f>SUM(O21:Q21)</f>
        <v>127.60709628524229</v>
      </c>
    </row>
    <row r="22" spans="1:18" ht="11.25">
      <c r="A22" s="14">
        <v>4</v>
      </c>
      <c r="B22" s="14">
        <f>+Fields!Q70</f>
        <v>1633.1629142992426</v>
      </c>
      <c r="C22" s="75">
        <f>+Fields!C68</f>
        <v>87.49575298438936</v>
      </c>
      <c r="D22" s="14">
        <f>+Fields!M68</f>
        <v>466659.22351190477</v>
      </c>
      <c r="F22" s="14">
        <v>4</v>
      </c>
      <c r="G22" s="14">
        <f>+A47</f>
        <v>4987.379154829546</v>
      </c>
      <c r="H22" s="94">
        <v>16</v>
      </c>
      <c r="I22" s="18">
        <f>+East!E20</f>
        <v>31.829044286081693</v>
      </c>
      <c r="K22" s="14" t="s">
        <v>53</v>
      </c>
      <c r="L22" s="18">
        <f>+East!J5</f>
        <v>182.0027344917534</v>
      </c>
      <c r="M22" s="18">
        <f>+East!J4</f>
        <v>13</v>
      </c>
      <c r="N22" s="18">
        <f>SUM(L22:M22)</f>
        <v>195.0027344917534</v>
      </c>
      <c r="O22" s="14">
        <f>+N22/2.31</f>
        <v>84.41676817824822</v>
      </c>
      <c r="P22" s="14">
        <v>20</v>
      </c>
      <c r="Q22" s="14">
        <v>40</v>
      </c>
      <c r="R22" s="14">
        <f>SUM(O22:Q22)</f>
        <v>144.41676817824822</v>
      </c>
    </row>
    <row r="23" spans="1:9" ht="11.25">
      <c r="A23" s="14">
        <v>5</v>
      </c>
      <c r="B23" s="14">
        <f>+Fields!Q86</f>
        <v>1402.8164180871208</v>
      </c>
      <c r="C23" s="75">
        <f>+Fields!C84</f>
        <v>75.15507346189163</v>
      </c>
      <c r="D23" s="14">
        <f>+Fields!M84</f>
        <v>400840.1211309523</v>
      </c>
      <c r="F23" s="14">
        <v>5</v>
      </c>
      <c r="G23" s="14">
        <f>+A49</f>
        <v>3354.216240530303</v>
      </c>
      <c r="H23" s="94">
        <v>14</v>
      </c>
      <c r="I23" s="18">
        <f>+East!F20</f>
        <v>28.566219121939707</v>
      </c>
    </row>
    <row r="24" spans="1:9" ht="11.25">
      <c r="A24" s="14">
        <v>6</v>
      </c>
      <c r="B24" s="14">
        <f>+Fields!Q107</f>
        <v>5606.633974905302</v>
      </c>
      <c r="C24" s="75">
        <f>+Fields!C105</f>
        <v>300.3721533516988</v>
      </c>
      <c r="D24" s="14">
        <f>+Fields!M105</f>
        <v>1602037.0254166666</v>
      </c>
      <c r="F24" s="14">
        <v>6</v>
      </c>
      <c r="G24" s="14">
        <f>+A51</f>
        <v>1402.8164180871208</v>
      </c>
      <c r="H24" s="94">
        <v>12</v>
      </c>
      <c r="I24" s="18">
        <f>+East!G20</f>
        <v>28.33090707054163</v>
      </c>
    </row>
    <row r="25" spans="1:9" ht="12" thickBot="1">
      <c r="A25" s="14">
        <v>7</v>
      </c>
      <c r="B25" s="76">
        <f>+Fields!Q126</f>
        <v>2807.5366785037877</v>
      </c>
      <c r="C25" s="78">
        <f>+Fields!C124</f>
        <v>150.41214416896236</v>
      </c>
      <c r="D25" s="76">
        <f>+Fields!M124</f>
        <v>802224.2452976191</v>
      </c>
      <c r="F25" s="14">
        <v>7</v>
      </c>
      <c r="G25" s="14">
        <f>+A44</f>
        <v>1942.345108901515</v>
      </c>
      <c r="H25" s="94">
        <v>10</v>
      </c>
      <c r="I25" s="18">
        <f>+West!E20</f>
        <v>35.89582840571936</v>
      </c>
    </row>
    <row r="26" spans="1:9" ht="12" thickTop="1">
      <c r="A26" s="14" t="s">
        <v>65</v>
      </c>
      <c r="B26" s="77">
        <f>SUM(B19:B25)</f>
        <v>24759.892857481056</v>
      </c>
      <c r="C26" s="79">
        <f>SUM(C19:C25)</f>
        <v>1326.496854912764</v>
      </c>
      <c r="D26" s="77">
        <f>SUM(D19:D25)</f>
        <v>7074880.450654763</v>
      </c>
      <c r="F26" s="14">
        <v>8</v>
      </c>
      <c r="G26" s="14">
        <f>+A39</f>
        <v>8414.17065340909</v>
      </c>
      <c r="H26" s="94">
        <v>24</v>
      </c>
      <c r="I26" s="18">
        <f>+North!E20</f>
        <v>69.68826491206418</v>
      </c>
    </row>
    <row r="27" spans="6:9" ht="11.25">
      <c r="F27" s="14">
        <v>9</v>
      </c>
      <c r="G27" s="14">
        <f>+A41</f>
        <v>2807.5366785037877</v>
      </c>
      <c r="H27" s="94">
        <v>16</v>
      </c>
      <c r="I27" s="18">
        <f>+North!F20</f>
        <v>12.670990324238225</v>
      </c>
    </row>
    <row r="29" spans="1:2" ht="11.25">
      <c r="A29" s="14" t="s">
        <v>57</v>
      </c>
      <c r="B29" s="14" t="s">
        <v>42</v>
      </c>
    </row>
    <row r="30" spans="1:16" ht="11.25">
      <c r="A30" s="14" t="s">
        <v>55</v>
      </c>
      <c r="B30" s="14" t="s">
        <v>43</v>
      </c>
      <c r="O30" s="18"/>
      <c r="P30" s="81"/>
    </row>
    <row r="31" spans="1:16" ht="11.25">
      <c r="A31" s="14">
        <v>1</v>
      </c>
      <c r="B31" s="16" t="s">
        <v>44</v>
      </c>
      <c r="C31" s="14">
        <v>1</v>
      </c>
      <c r="D31" s="14">
        <v>2</v>
      </c>
      <c r="E31" s="14">
        <v>3</v>
      </c>
      <c r="F31" s="14">
        <v>4</v>
      </c>
      <c r="G31" s="14">
        <v>5</v>
      </c>
      <c r="H31" s="14">
        <v>6</v>
      </c>
      <c r="I31" s="14">
        <v>7</v>
      </c>
      <c r="O31" s="18"/>
      <c r="P31" s="81"/>
    </row>
    <row r="32" spans="1:16" ht="11.25">
      <c r="A32" s="14">
        <f>IF(B32&gt;$A$12,$A$12,B32)</f>
        <v>24759.892857481056</v>
      </c>
      <c r="B32" s="14">
        <f>SUM(C32:I32)</f>
        <v>24759.892857481056</v>
      </c>
      <c r="C32" s="14">
        <f>VLOOKUP(C31,FLOW,2,FALSE)</f>
        <v>9415.997940340907</v>
      </c>
      <c r="D32" s="14">
        <f aca="true" t="shared" si="0" ref="D32:I32">VLOOKUP(D31,FLOW,2,FALSE)</f>
        <v>1951.399822443182</v>
      </c>
      <c r="E32" s="14">
        <f t="shared" si="0"/>
        <v>1942.345108901515</v>
      </c>
      <c r="F32" s="14">
        <f t="shared" si="0"/>
        <v>1633.1629142992426</v>
      </c>
      <c r="G32" s="14">
        <f t="shared" si="0"/>
        <v>1402.8164180871208</v>
      </c>
      <c r="H32" s="14">
        <f t="shared" si="0"/>
        <v>5606.633974905302</v>
      </c>
      <c r="I32" s="14">
        <f t="shared" si="0"/>
        <v>2807.5366785037877</v>
      </c>
      <c r="O32" s="18"/>
      <c r="P32" s="18"/>
    </row>
    <row r="33" spans="1:3" ht="11.25">
      <c r="A33" s="14">
        <v>2</v>
      </c>
      <c r="B33" s="14">
        <v>1</v>
      </c>
      <c r="C33" s="14">
        <v>1</v>
      </c>
    </row>
    <row r="34" spans="1:3" ht="11.25">
      <c r="A34" s="14">
        <f>IF(B34&gt;$A$12,$A$12,B34)</f>
        <v>9415.997940340907</v>
      </c>
      <c r="B34" s="14">
        <f>SUM(C34:I34)</f>
        <v>9415.997940340907</v>
      </c>
      <c r="C34" s="14">
        <f>VLOOKUP(C33,FLOW,2,FALSE)</f>
        <v>9415.997940340907</v>
      </c>
    </row>
    <row r="35" ht="11.25">
      <c r="B35" s="14" t="s">
        <v>45</v>
      </c>
    </row>
    <row r="36" spans="1:8" ht="11.25">
      <c r="A36" s="14">
        <v>3</v>
      </c>
      <c r="B36" s="16" t="s">
        <v>46</v>
      </c>
      <c r="C36" s="14">
        <v>2</v>
      </c>
      <c r="D36" s="14">
        <v>3</v>
      </c>
      <c r="E36" s="14">
        <v>4</v>
      </c>
      <c r="F36" s="14">
        <v>5</v>
      </c>
      <c r="G36" s="14">
        <v>6</v>
      </c>
      <c r="H36" s="14">
        <v>7</v>
      </c>
    </row>
    <row r="37" spans="1:8" ht="11.25">
      <c r="A37" s="14">
        <f>IF(B37&gt;$A$12,$A$12,B37)</f>
        <v>15343.894917140151</v>
      </c>
      <c r="B37" s="14">
        <f>SUM(C37:I37)</f>
        <v>15343.894917140151</v>
      </c>
      <c r="C37" s="14">
        <f aca="true" t="shared" si="1" ref="C37:H37">VLOOKUP(C36,FLOW,2,FALSE)</f>
        <v>1951.399822443182</v>
      </c>
      <c r="D37" s="14">
        <f t="shared" si="1"/>
        <v>1942.345108901515</v>
      </c>
      <c r="E37" s="14">
        <f t="shared" si="1"/>
        <v>1633.1629142992426</v>
      </c>
      <c r="F37" s="14">
        <f t="shared" si="1"/>
        <v>1402.8164180871208</v>
      </c>
      <c r="G37" s="14">
        <f t="shared" si="1"/>
        <v>5606.633974905302</v>
      </c>
      <c r="H37" s="14">
        <f t="shared" si="1"/>
        <v>2807.5366785037877</v>
      </c>
    </row>
    <row r="38" spans="1:4" ht="11.25">
      <c r="A38" s="14">
        <v>8</v>
      </c>
      <c r="B38" s="16" t="s">
        <v>47</v>
      </c>
      <c r="C38" s="14">
        <v>6</v>
      </c>
      <c r="D38" s="14">
        <v>7</v>
      </c>
    </row>
    <row r="39" spans="1:4" ht="11.25">
      <c r="A39" s="14">
        <f>IF(B39&gt;$A$12,$A$12,B39)</f>
        <v>8414.17065340909</v>
      </c>
      <c r="B39" s="14">
        <f>SUM(C39:I39)</f>
        <v>8414.17065340909</v>
      </c>
      <c r="C39" s="14">
        <f>VLOOKUP(C38,FLOW,2,FALSE)</f>
        <v>5606.633974905302</v>
      </c>
      <c r="D39" s="14">
        <f>VLOOKUP(D38,FLOW,2,FALSE)</f>
        <v>2807.5366785037877</v>
      </c>
    </row>
    <row r="40" spans="1:3" ht="11.25">
      <c r="A40" s="14">
        <v>9</v>
      </c>
      <c r="B40" s="16" t="s">
        <v>48</v>
      </c>
      <c r="C40" s="14">
        <v>7</v>
      </c>
    </row>
    <row r="41" spans="1:3" ht="11.25">
      <c r="A41" s="14">
        <f>IF(B41&gt;$A$12,$A$12,B41)</f>
        <v>2807.5366785037877</v>
      </c>
      <c r="B41" s="14">
        <f>SUM(C41:I41)</f>
        <v>2807.5366785037877</v>
      </c>
      <c r="C41" s="14">
        <f>VLOOKUP(C40,FLOW,2,FALSE)</f>
        <v>2807.5366785037877</v>
      </c>
    </row>
    <row r="42" ht="11.25">
      <c r="B42" s="14" t="s">
        <v>54</v>
      </c>
    </row>
    <row r="43" spans="1:3" ht="11.25">
      <c r="A43" s="14">
        <v>7</v>
      </c>
      <c r="B43" s="16" t="s">
        <v>49</v>
      </c>
      <c r="C43" s="14">
        <v>3</v>
      </c>
    </row>
    <row r="44" spans="1:3" ht="11.25">
      <c r="A44" s="14">
        <f>IF(B44&gt;$A$12,$A$12,B44)</f>
        <v>1942.345108901515</v>
      </c>
      <c r="B44" s="14">
        <f>SUM(C44:I44)</f>
        <v>1942.345108901515</v>
      </c>
      <c r="C44" s="14">
        <f>VLOOKUP(C43,FLOW,2,FALSE)</f>
        <v>1942.345108901515</v>
      </c>
    </row>
    <row r="45" ht="11.25">
      <c r="B45" s="14" t="s">
        <v>53</v>
      </c>
    </row>
    <row r="46" spans="1:5" ht="11.25">
      <c r="A46" s="14">
        <v>4</v>
      </c>
      <c r="B46" s="16" t="s">
        <v>50</v>
      </c>
      <c r="C46" s="14">
        <v>4</v>
      </c>
      <c r="D46" s="14">
        <v>2</v>
      </c>
      <c r="E46" s="14">
        <v>5</v>
      </c>
    </row>
    <row r="47" spans="1:5" ht="11.25">
      <c r="A47" s="14">
        <f>IF(B47&gt;$A$12,$A$12,B47)</f>
        <v>4987.379154829546</v>
      </c>
      <c r="B47" s="14">
        <f>SUM(C47:I47)</f>
        <v>4987.379154829546</v>
      </c>
      <c r="C47" s="14">
        <f>VLOOKUP(C46,FLOW,2,FALSE)</f>
        <v>1633.1629142992426</v>
      </c>
      <c r="D47" s="14">
        <f>VLOOKUP(D46,FLOW,2,FALSE)</f>
        <v>1951.399822443182</v>
      </c>
      <c r="E47" s="14">
        <f>VLOOKUP(E46,FLOW,2,FALSE)</f>
        <v>1402.8164180871208</v>
      </c>
    </row>
    <row r="48" spans="1:4" ht="11.25">
      <c r="A48" s="14">
        <v>5</v>
      </c>
      <c r="B48" s="16" t="s">
        <v>51</v>
      </c>
      <c r="C48" s="14">
        <v>2</v>
      </c>
      <c r="D48" s="14">
        <v>5</v>
      </c>
    </row>
    <row r="49" spans="1:4" ht="11.25">
      <c r="A49" s="14">
        <f>IF(B49&gt;$A$12,$A$12,B49)</f>
        <v>3354.216240530303</v>
      </c>
      <c r="B49" s="14">
        <f>SUM(C49:I49)</f>
        <v>3354.216240530303</v>
      </c>
      <c r="C49" s="14">
        <f>VLOOKUP(C48,FLOW,2,FALSE)</f>
        <v>1951.399822443182</v>
      </c>
      <c r="D49" s="14">
        <f>VLOOKUP(D48,FLOW,2,FALSE)</f>
        <v>1402.8164180871208</v>
      </c>
    </row>
    <row r="50" spans="1:3" ht="11.25">
      <c r="A50" s="14">
        <v>6</v>
      </c>
      <c r="B50" s="16" t="s">
        <v>52</v>
      </c>
      <c r="C50" s="14">
        <v>5</v>
      </c>
    </row>
    <row r="51" spans="1:3" ht="11.25">
      <c r="A51" s="14">
        <f>IF(B51&gt;$A$12,$A$12,B51)</f>
        <v>1402.8164180871208</v>
      </c>
      <c r="B51" s="14">
        <f>SUM(C51:I51)</f>
        <v>1402.8164180871208</v>
      </c>
      <c r="C51" s="14">
        <f>VLOOKUP(C50,FLOW,2,FALSE)</f>
        <v>1402.8164180871208</v>
      </c>
    </row>
  </sheetData>
  <printOptions/>
  <pageMargins left="0.75" right="0.75" top="1" bottom="1" header="0.5" footer="0.5"/>
  <pageSetup fitToHeight="1" fitToWidth="1" horizontalDpi="1200" verticalDpi="12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59"/>
  <sheetViews>
    <sheetView tabSelected="1" view="pageBreakPreview" zoomScale="60" workbookViewId="0" topLeftCell="A1">
      <selection activeCell="O28" sqref="O28"/>
    </sheetView>
  </sheetViews>
  <sheetFormatPr defaultColWidth="9.33203125" defaultRowHeight="11.25"/>
  <cols>
    <col min="1" max="1" width="4.16015625" style="0" bestFit="1" customWidth="1"/>
    <col min="2" max="2" width="12.33203125" style="0" bestFit="1" customWidth="1"/>
    <col min="3" max="3" width="14.5" style="6" bestFit="1" customWidth="1"/>
    <col min="4" max="4" width="15.83203125" style="0" hidden="1" customWidth="1"/>
    <col min="5" max="5" width="13.83203125" style="0" hidden="1" customWidth="1"/>
    <col min="6" max="6" width="13.33203125" style="0" hidden="1" customWidth="1"/>
    <col min="7" max="8" width="18.66015625" style="0" hidden="1" customWidth="1"/>
    <col min="9" max="9" width="16" style="0" hidden="1" customWidth="1"/>
    <col min="10" max="10" width="15" style="0" hidden="1" customWidth="1"/>
    <col min="11" max="11" width="15.5" style="0" hidden="1" customWidth="1"/>
    <col min="12" max="12" width="15.16015625" style="0" hidden="1" customWidth="1"/>
    <col min="13" max="13" width="15.16015625" style="8" hidden="1" customWidth="1"/>
    <col min="14" max="14" width="10.83203125" style="13" hidden="1" customWidth="1"/>
    <col min="15" max="15" width="15.16015625" style="8" customWidth="1"/>
    <col min="16" max="16" width="10.83203125" style="13" bestFit="1" customWidth="1"/>
    <col min="17" max="17" width="15.33203125" style="44" bestFit="1" customWidth="1"/>
    <col min="18" max="18" width="20.83203125" style="13" bestFit="1" customWidth="1"/>
    <col min="19" max="19" width="9.33203125" style="84" customWidth="1"/>
    <col min="20" max="20" width="20.5" style="6" bestFit="1" customWidth="1"/>
    <col min="21" max="21" width="10.83203125" style="6" customWidth="1"/>
    <col min="22" max="22" width="11" style="6" customWidth="1"/>
    <col min="23" max="23" width="14.66015625" style="6" bestFit="1" customWidth="1"/>
    <col min="24" max="24" width="9.33203125" style="6" customWidth="1"/>
    <col min="25" max="25" width="14.66015625" style="6" bestFit="1" customWidth="1"/>
    <col min="26" max="26" width="14.66015625" style="6" customWidth="1"/>
    <col min="27" max="27" width="11.16015625" style="6" customWidth="1"/>
    <col min="28" max="29" width="13.16015625" style="6" bestFit="1" customWidth="1"/>
    <col min="30" max="30" width="12.16015625" style="6" bestFit="1" customWidth="1"/>
    <col min="31" max="31" width="11.16015625" style="6" bestFit="1" customWidth="1"/>
  </cols>
  <sheetData>
    <row r="1" spans="2:34" ht="15.75">
      <c r="B1" s="93" t="s">
        <v>185</v>
      </c>
      <c r="AA1" t="s">
        <v>69</v>
      </c>
      <c r="AB1"/>
      <c r="AC1"/>
      <c r="AG1" s="19">
        <v>1000</v>
      </c>
      <c r="AH1" t="s">
        <v>40</v>
      </c>
    </row>
    <row r="2" spans="2:33" ht="18">
      <c r="B2" s="91" t="s">
        <v>186</v>
      </c>
      <c r="H2" s="20" t="s">
        <v>70</v>
      </c>
      <c r="S2" s="84" t="s">
        <v>71</v>
      </c>
      <c r="X2" s="21" t="s">
        <v>72</v>
      </c>
      <c r="AA2"/>
      <c r="AB2"/>
      <c r="AC2"/>
      <c r="AG2" s="8"/>
    </row>
    <row r="3" spans="17:24" ht="11.25">
      <c r="Q3" s="44" t="s">
        <v>175</v>
      </c>
      <c r="S3" s="84" t="s">
        <v>73</v>
      </c>
      <c r="X3" s="6" t="s">
        <v>74</v>
      </c>
    </row>
    <row r="4" spans="2:31" ht="11.25">
      <c r="B4" s="22" t="s">
        <v>75</v>
      </c>
      <c r="C4" s="22" t="s">
        <v>76</v>
      </c>
      <c r="D4" s="87" t="s">
        <v>76</v>
      </c>
      <c r="E4" s="23" t="s">
        <v>77</v>
      </c>
      <c r="F4" s="24"/>
      <c r="G4" s="23" t="s">
        <v>78</v>
      </c>
      <c r="H4" s="24"/>
      <c r="I4" s="23" t="s">
        <v>79</v>
      </c>
      <c r="J4" s="24"/>
      <c r="K4" s="23" t="s">
        <v>80</v>
      </c>
      <c r="L4" s="24"/>
      <c r="M4" s="84"/>
      <c r="N4" s="21" t="s">
        <v>11</v>
      </c>
      <c r="O4" s="84"/>
      <c r="P4" s="21" t="s">
        <v>11</v>
      </c>
      <c r="Q4" s="82" t="s">
        <v>81</v>
      </c>
      <c r="R4" s="21"/>
      <c r="S4" s="21" t="s">
        <v>82</v>
      </c>
      <c r="T4" s="21" t="s">
        <v>83</v>
      </c>
      <c r="U4" s="6" t="s">
        <v>84</v>
      </c>
      <c r="V4" s="21" t="s">
        <v>85</v>
      </c>
      <c r="W4" s="21" t="s">
        <v>86</v>
      </c>
      <c r="X4" s="6" t="s">
        <v>87</v>
      </c>
      <c r="Y4" s="21" t="s">
        <v>88</v>
      </c>
      <c r="Z4" s="21" t="s">
        <v>88</v>
      </c>
      <c r="AA4" s="26" t="s">
        <v>89</v>
      </c>
      <c r="AB4" s="21" t="s">
        <v>90</v>
      </c>
      <c r="AC4" s="21" t="s">
        <v>90</v>
      </c>
      <c r="AD4" s="21" t="s">
        <v>91</v>
      </c>
      <c r="AE4" s="21" t="s">
        <v>92</v>
      </c>
    </row>
    <row r="5" spans="2:31" ht="11.25">
      <c r="B5" s="22"/>
      <c r="C5" s="22" t="s">
        <v>93</v>
      </c>
      <c r="D5" s="87" t="s">
        <v>94</v>
      </c>
      <c r="E5" s="22" t="s">
        <v>95</v>
      </c>
      <c r="F5" s="22" t="s">
        <v>96</v>
      </c>
      <c r="G5" s="22" t="s">
        <v>97</v>
      </c>
      <c r="H5" s="22" t="s">
        <v>98</v>
      </c>
      <c r="I5" s="22" t="s">
        <v>95</v>
      </c>
      <c r="J5" s="22" t="s">
        <v>96</v>
      </c>
      <c r="K5" s="22" t="s">
        <v>97</v>
      </c>
      <c r="L5" s="22" t="s">
        <v>98</v>
      </c>
      <c r="M5" s="21" t="s">
        <v>99</v>
      </c>
      <c r="N5" s="21" t="s">
        <v>40</v>
      </c>
      <c r="O5" s="21" t="s">
        <v>99</v>
      </c>
      <c r="P5" s="21" t="s">
        <v>40</v>
      </c>
      <c r="Q5" s="82" t="s">
        <v>100</v>
      </c>
      <c r="R5" s="21"/>
      <c r="T5" s="6" t="s">
        <v>101</v>
      </c>
      <c r="U5" s="21" t="s">
        <v>102</v>
      </c>
      <c r="V5" s="6" t="s">
        <v>103</v>
      </c>
      <c r="W5" s="6" t="s">
        <v>101</v>
      </c>
      <c r="X5" s="6" t="s">
        <v>104</v>
      </c>
      <c r="Y5" s="6" t="s">
        <v>105</v>
      </c>
      <c r="Z5" s="6" t="s">
        <v>106</v>
      </c>
      <c r="AA5" s="21" t="s">
        <v>107</v>
      </c>
      <c r="AB5" s="6" t="s">
        <v>108</v>
      </c>
      <c r="AC5" s="6" t="s">
        <v>109</v>
      </c>
      <c r="AD5" s="6" t="s">
        <v>110</v>
      </c>
      <c r="AE5" s="6" t="s">
        <v>111</v>
      </c>
    </row>
    <row r="6" spans="1:19" ht="11.25">
      <c r="A6" t="s">
        <v>112</v>
      </c>
      <c r="B6" s="22" t="s">
        <v>113</v>
      </c>
      <c r="C6" s="27">
        <f>D6/43560</f>
        <v>17.30342056932966</v>
      </c>
      <c r="D6" s="87">
        <v>753737</v>
      </c>
      <c r="E6" s="22">
        <v>2.5</v>
      </c>
      <c r="F6" s="28">
        <f>E6/7</f>
        <v>0.35714285714285715</v>
      </c>
      <c r="G6" s="29">
        <f>F6*D6/12</f>
        <v>22432.648809523813</v>
      </c>
      <c r="H6" s="29">
        <f>G6*7.48</f>
        <v>167796.21309523814</v>
      </c>
      <c r="I6" s="22">
        <v>1</v>
      </c>
      <c r="J6" s="28">
        <f>I6/7</f>
        <v>0.14285714285714285</v>
      </c>
      <c r="K6" s="29">
        <f>J6*D6/12</f>
        <v>8973.059523809523</v>
      </c>
      <c r="L6" s="30">
        <f>K6*7.48</f>
        <v>67118.48523809524</v>
      </c>
      <c r="M6" s="54">
        <v>23</v>
      </c>
      <c r="N6" s="13">
        <f>M6*$C$158</f>
        <v>1081</v>
      </c>
      <c r="O6" s="54">
        <v>23</v>
      </c>
      <c r="P6" s="13">
        <f>O6*$C$158</f>
        <v>1081</v>
      </c>
      <c r="Q6" s="44">
        <f>+$C6*Summary!$A$14*27150/$N6/60</f>
        <v>11.951125238275445</v>
      </c>
      <c r="S6" s="84">
        <f>IF(Q6&gt;=24,N6,N6/2)</f>
        <v>540.5</v>
      </c>
    </row>
    <row r="7" spans="2:19" ht="11.25">
      <c r="B7" s="22" t="s">
        <v>114</v>
      </c>
      <c r="C7" s="27">
        <f aca="true" t="shared" si="0" ref="C7:C23">D7/43560</f>
        <v>17.886937557392102</v>
      </c>
      <c r="D7" s="87">
        <v>779155</v>
      </c>
      <c r="E7" s="22">
        <v>2.5</v>
      </c>
      <c r="F7" s="28">
        <f aca="true" t="shared" si="1" ref="F7:F23">E7/7</f>
        <v>0.35714285714285715</v>
      </c>
      <c r="G7" s="29">
        <f aca="true" t="shared" si="2" ref="G7:G23">F7*D7/12</f>
        <v>23189.136904761905</v>
      </c>
      <c r="H7" s="29">
        <f aca="true" t="shared" si="3" ref="H7:H23">G7*7.48</f>
        <v>173454.74404761905</v>
      </c>
      <c r="I7" s="22">
        <v>1</v>
      </c>
      <c r="J7" s="28">
        <f aca="true" t="shared" si="4" ref="J7:J23">I7/7</f>
        <v>0.14285714285714285</v>
      </c>
      <c r="K7" s="29">
        <f aca="true" t="shared" si="5" ref="K7:K23">J7*D7/12</f>
        <v>9275.654761904761</v>
      </c>
      <c r="L7" s="30">
        <f aca="true" t="shared" si="6" ref="L7:L23">K7*7.48</f>
        <v>69381.89761904762</v>
      </c>
      <c r="M7" s="54">
        <v>25</v>
      </c>
      <c r="N7" s="13">
        <f aca="true" t="shared" si="7" ref="N7:P17">M7*$C$158</f>
        <v>1175</v>
      </c>
      <c r="O7" s="54">
        <v>25</v>
      </c>
      <c r="P7" s="13">
        <f t="shared" si="7"/>
        <v>1175</v>
      </c>
      <c r="Q7" s="44">
        <f>+$C7*Summary!$A$14*27150/$N7/60</f>
        <v>11.365816811734364</v>
      </c>
      <c r="S7" s="84">
        <f aca="true" t="shared" si="8" ref="S7:S23">IF(Q7&gt;=24,N7,N7/2)</f>
        <v>587.5</v>
      </c>
    </row>
    <row r="8" spans="2:19" ht="11.25">
      <c r="B8" s="22" t="s">
        <v>115</v>
      </c>
      <c r="C8" s="27">
        <f t="shared" si="0"/>
        <v>14.050045913682277</v>
      </c>
      <c r="D8" s="87">
        <v>612020</v>
      </c>
      <c r="E8" s="22">
        <v>2.5</v>
      </c>
      <c r="F8" s="28">
        <f t="shared" si="1"/>
        <v>0.35714285714285715</v>
      </c>
      <c r="G8" s="29">
        <f t="shared" si="2"/>
        <v>18214.88095238095</v>
      </c>
      <c r="H8" s="29">
        <f t="shared" si="3"/>
        <v>136247.30952380953</v>
      </c>
      <c r="I8" s="22">
        <v>1</v>
      </c>
      <c r="J8" s="28">
        <f t="shared" si="4"/>
        <v>0.14285714285714285</v>
      </c>
      <c r="K8" s="29">
        <f t="shared" si="5"/>
        <v>7285.952380952381</v>
      </c>
      <c r="L8" s="30">
        <f t="shared" si="6"/>
        <v>54498.92380952381</v>
      </c>
      <c r="M8" s="54">
        <v>21</v>
      </c>
      <c r="N8" s="13">
        <f t="shared" si="7"/>
        <v>987</v>
      </c>
      <c r="O8" s="54">
        <v>21</v>
      </c>
      <c r="P8" s="13">
        <f t="shared" si="7"/>
        <v>987</v>
      </c>
      <c r="Q8" s="44">
        <f>+$C8*Summary!$A$14*27150/$N8/60</f>
        <v>10.628283212059808</v>
      </c>
      <c r="S8" s="84">
        <f t="shared" si="8"/>
        <v>493.5</v>
      </c>
    </row>
    <row r="9" spans="2:19" ht="11.25">
      <c r="B9" s="22" t="s">
        <v>116</v>
      </c>
      <c r="C9" s="27">
        <f t="shared" si="0"/>
        <v>13.476951331496785</v>
      </c>
      <c r="D9" s="87">
        <v>587056</v>
      </c>
      <c r="E9" s="22">
        <v>2.5</v>
      </c>
      <c r="F9" s="28">
        <f t="shared" si="1"/>
        <v>0.35714285714285715</v>
      </c>
      <c r="G9" s="29">
        <f t="shared" si="2"/>
        <v>17471.904761904763</v>
      </c>
      <c r="H9" s="29">
        <f t="shared" si="3"/>
        <v>130689.84761904764</v>
      </c>
      <c r="I9" s="22">
        <v>1</v>
      </c>
      <c r="J9" s="28">
        <f t="shared" si="4"/>
        <v>0.14285714285714285</v>
      </c>
      <c r="K9" s="29">
        <f t="shared" si="5"/>
        <v>6988.761904761905</v>
      </c>
      <c r="L9" s="30">
        <f t="shared" si="6"/>
        <v>52275.93904761905</v>
      </c>
      <c r="M9" s="54">
        <v>21</v>
      </c>
      <c r="N9" s="13">
        <f t="shared" si="7"/>
        <v>987</v>
      </c>
      <c r="O9" s="54">
        <v>21</v>
      </c>
      <c r="P9" s="13">
        <f t="shared" si="7"/>
        <v>987</v>
      </c>
      <c r="Q9" s="44">
        <f>+$C9*Summary!$A$14*27150/$N9/60</f>
        <v>10.19476067667557</v>
      </c>
      <c r="S9" s="84">
        <f t="shared" si="8"/>
        <v>493.5</v>
      </c>
    </row>
    <row r="10" spans="2:19" ht="11.25">
      <c r="B10" s="22" t="s">
        <v>117</v>
      </c>
      <c r="C10" s="27">
        <f t="shared" si="0"/>
        <v>13.65169880624426</v>
      </c>
      <c r="D10" s="87">
        <v>594668</v>
      </c>
      <c r="E10" s="22">
        <v>2.5</v>
      </c>
      <c r="F10" s="28">
        <f t="shared" si="1"/>
        <v>0.35714285714285715</v>
      </c>
      <c r="G10" s="29">
        <f t="shared" si="2"/>
        <v>17698.45238095238</v>
      </c>
      <c r="H10" s="29">
        <f t="shared" si="3"/>
        <v>132384.4238095238</v>
      </c>
      <c r="I10" s="22">
        <v>1</v>
      </c>
      <c r="J10" s="28">
        <f t="shared" si="4"/>
        <v>0.14285714285714285</v>
      </c>
      <c r="K10" s="29">
        <f t="shared" si="5"/>
        <v>7079.380952380951</v>
      </c>
      <c r="L10" s="30">
        <f t="shared" si="6"/>
        <v>52953.76952380952</v>
      </c>
      <c r="M10" s="54">
        <v>21</v>
      </c>
      <c r="N10" s="13">
        <f t="shared" si="7"/>
        <v>987</v>
      </c>
      <c r="O10" s="54">
        <v>21</v>
      </c>
      <c r="P10" s="13">
        <f t="shared" si="7"/>
        <v>987</v>
      </c>
      <c r="Q10" s="44">
        <f>+$C10*Summary!$A$14*27150/$N10/60</f>
        <v>10.326949970832947</v>
      </c>
      <c r="S10" s="84">
        <f t="shared" si="8"/>
        <v>493.5</v>
      </c>
    </row>
    <row r="11" spans="2:19" ht="11.25">
      <c r="B11" s="22" t="s">
        <v>118</v>
      </c>
      <c r="C11" s="27">
        <f t="shared" si="0"/>
        <v>12.80872359963269</v>
      </c>
      <c r="D11" s="87">
        <v>557948</v>
      </c>
      <c r="E11" s="22">
        <v>2.5</v>
      </c>
      <c r="F11" s="28">
        <f t="shared" si="1"/>
        <v>0.35714285714285715</v>
      </c>
      <c r="G11" s="29">
        <f t="shared" si="2"/>
        <v>16605.59523809524</v>
      </c>
      <c r="H11" s="29">
        <f t="shared" si="3"/>
        <v>124209.8523809524</v>
      </c>
      <c r="I11" s="22">
        <v>1</v>
      </c>
      <c r="J11" s="28">
        <f t="shared" si="4"/>
        <v>0.14285714285714285</v>
      </c>
      <c r="K11" s="29">
        <f t="shared" si="5"/>
        <v>6642.238095238095</v>
      </c>
      <c r="L11" s="30">
        <f t="shared" si="6"/>
        <v>49683.94095238096</v>
      </c>
      <c r="M11" s="54">
        <v>21</v>
      </c>
      <c r="N11" s="13">
        <f t="shared" si="7"/>
        <v>987</v>
      </c>
      <c r="O11" s="54">
        <v>21</v>
      </c>
      <c r="P11" s="13">
        <f t="shared" si="7"/>
        <v>987</v>
      </c>
      <c r="Q11" s="44">
        <f>+$C11*Summary!$A$14*27150/$N11/60</f>
        <v>9.689273817199348</v>
      </c>
      <c r="S11" s="84">
        <f t="shared" si="8"/>
        <v>493.5</v>
      </c>
    </row>
    <row r="12" spans="2:19" ht="11.25">
      <c r="B12" s="22" t="s">
        <v>119</v>
      </c>
      <c r="C12" s="27">
        <f t="shared" si="0"/>
        <v>13.826124885215794</v>
      </c>
      <c r="D12" s="87">
        <v>602266</v>
      </c>
      <c r="E12" s="22">
        <v>2.5</v>
      </c>
      <c r="F12" s="28">
        <f t="shared" si="1"/>
        <v>0.35714285714285715</v>
      </c>
      <c r="G12" s="29">
        <f t="shared" si="2"/>
        <v>17924.583333333332</v>
      </c>
      <c r="H12" s="29">
        <f t="shared" si="3"/>
        <v>134075.88333333333</v>
      </c>
      <c r="I12" s="22">
        <v>1</v>
      </c>
      <c r="J12" s="28">
        <f t="shared" si="4"/>
        <v>0.14285714285714285</v>
      </c>
      <c r="K12" s="29">
        <f t="shared" si="5"/>
        <v>7169.833333333333</v>
      </c>
      <c r="L12" s="30">
        <f t="shared" si="6"/>
        <v>53630.35333333333</v>
      </c>
      <c r="M12" s="54">
        <v>21</v>
      </c>
      <c r="N12" s="13">
        <f t="shared" si="7"/>
        <v>987</v>
      </c>
      <c r="O12" s="54">
        <v>21</v>
      </c>
      <c r="P12" s="13">
        <f t="shared" si="7"/>
        <v>987</v>
      </c>
      <c r="Q12" s="44">
        <f>+$C12*Summary!$A$14*27150/$N12/60</f>
        <v>10.458896142273803</v>
      </c>
      <c r="S12" s="84">
        <f t="shared" si="8"/>
        <v>493.5</v>
      </c>
    </row>
    <row r="13" spans="2:19" ht="11.25">
      <c r="B13" s="22" t="s">
        <v>120</v>
      </c>
      <c r="C13" s="27">
        <f t="shared" si="0"/>
        <v>13.203581267217631</v>
      </c>
      <c r="D13" s="87">
        <v>575148</v>
      </c>
      <c r="E13" s="22">
        <v>2.5</v>
      </c>
      <c r="F13" s="28">
        <f t="shared" si="1"/>
        <v>0.35714285714285715</v>
      </c>
      <c r="G13" s="29">
        <f t="shared" si="2"/>
        <v>17117.5</v>
      </c>
      <c r="H13" s="29">
        <f t="shared" si="3"/>
        <v>128038.90000000001</v>
      </c>
      <c r="I13" s="22">
        <v>1</v>
      </c>
      <c r="J13" s="28">
        <f t="shared" si="4"/>
        <v>0.14285714285714285</v>
      </c>
      <c r="K13" s="29">
        <f t="shared" si="5"/>
        <v>6847</v>
      </c>
      <c r="L13" s="30">
        <f t="shared" si="6"/>
        <v>51215.560000000005</v>
      </c>
      <c r="M13" s="54">
        <v>19</v>
      </c>
      <c r="N13" s="13">
        <f t="shared" si="7"/>
        <v>893</v>
      </c>
      <c r="O13" s="54">
        <v>19</v>
      </c>
      <c r="P13" s="13">
        <f t="shared" si="7"/>
        <v>893</v>
      </c>
      <c r="Q13" s="44">
        <f>+$C13*Summary!$A$14*27150/$N13/60</f>
        <v>11.039332434083272</v>
      </c>
      <c r="S13" s="84">
        <f t="shared" si="8"/>
        <v>446.5</v>
      </c>
    </row>
    <row r="14" spans="2:19" ht="11.25">
      <c r="B14" s="22" t="s">
        <v>121</v>
      </c>
      <c r="C14" s="27">
        <f t="shared" si="0"/>
        <v>9.7150826446281</v>
      </c>
      <c r="D14" s="87">
        <v>423189</v>
      </c>
      <c r="E14" s="22">
        <v>2.5</v>
      </c>
      <c r="F14" s="28">
        <f t="shared" si="1"/>
        <v>0.35714285714285715</v>
      </c>
      <c r="G14" s="29">
        <f t="shared" si="2"/>
        <v>12594.910714285716</v>
      </c>
      <c r="H14" s="29">
        <f t="shared" si="3"/>
        <v>94209.93214285716</v>
      </c>
      <c r="I14" s="22">
        <v>1</v>
      </c>
      <c r="J14" s="28">
        <f t="shared" si="4"/>
        <v>0.14285714285714285</v>
      </c>
      <c r="K14" s="29">
        <f t="shared" si="5"/>
        <v>5037.964285714285</v>
      </c>
      <c r="L14" s="30">
        <f t="shared" si="6"/>
        <v>37683.97285714286</v>
      </c>
      <c r="M14" s="54">
        <v>16</v>
      </c>
      <c r="N14" s="13">
        <f t="shared" si="7"/>
        <v>752</v>
      </c>
      <c r="O14" s="54">
        <v>16</v>
      </c>
      <c r="P14" s="13">
        <f t="shared" si="7"/>
        <v>752</v>
      </c>
      <c r="Q14" s="44">
        <f>+$C14*Summary!$A$14*27150/$N14/60</f>
        <v>9.64564305790619</v>
      </c>
      <c r="S14" s="84">
        <f t="shared" si="8"/>
        <v>376</v>
      </c>
    </row>
    <row r="15" spans="2:19" ht="11.25">
      <c r="B15" s="22" t="s">
        <v>122</v>
      </c>
      <c r="C15" s="27">
        <f t="shared" si="0"/>
        <v>12.84742883379247</v>
      </c>
      <c r="D15" s="87">
        <v>559634</v>
      </c>
      <c r="E15" s="22">
        <v>2.5</v>
      </c>
      <c r="F15" s="28">
        <f t="shared" si="1"/>
        <v>0.35714285714285715</v>
      </c>
      <c r="G15" s="29">
        <f t="shared" si="2"/>
        <v>16655.77380952381</v>
      </c>
      <c r="H15" s="29">
        <f t="shared" si="3"/>
        <v>124585.1880952381</v>
      </c>
      <c r="I15" s="22">
        <v>1</v>
      </c>
      <c r="J15" s="28">
        <f t="shared" si="4"/>
        <v>0.14285714285714285</v>
      </c>
      <c r="K15" s="29">
        <f t="shared" si="5"/>
        <v>6662.309523809523</v>
      </c>
      <c r="L15" s="30">
        <f t="shared" si="6"/>
        <v>49834.07523809523</v>
      </c>
      <c r="M15" s="54">
        <v>20</v>
      </c>
      <c r="N15" s="13">
        <f t="shared" si="7"/>
        <v>940</v>
      </c>
      <c r="O15" s="54">
        <v>20</v>
      </c>
      <c r="P15" s="13">
        <f t="shared" si="7"/>
        <v>940</v>
      </c>
      <c r="Q15" s="44">
        <f>+$C15*Summary!$A$14*27150/$N15/60</f>
        <v>10.204480375564152</v>
      </c>
      <c r="S15" s="84">
        <f t="shared" si="8"/>
        <v>470</v>
      </c>
    </row>
    <row r="16" spans="2:19" ht="11.25">
      <c r="B16" s="22" t="s">
        <v>123</v>
      </c>
      <c r="C16" s="27">
        <f t="shared" si="0"/>
        <v>12.67961432506887</v>
      </c>
      <c r="D16" s="87">
        <v>552324</v>
      </c>
      <c r="E16" s="22">
        <v>2.5</v>
      </c>
      <c r="F16" s="28">
        <f t="shared" si="1"/>
        <v>0.35714285714285715</v>
      </c>
      <c r="G16" s="29">
        <f t="shared" si="2"/>
        <v>16438.214285714286</v>
      </c>
      <c r="H16" s="29">
        <f t="shared" si="3"/>
        <v>122957.84285714287</v>
      </c>
      <c r="I16" s="22">
        <v>1</v>
      </c>
      <c r="J16" s="28">
        <f t="shared" si="4"/>
        <v>0.14285714285714285</v>
      </c>
      <c r="K16" s="29">
        <f t="shared" si="5"/>
        <v>6575.285714285714</v>
      </c>
      <c r="L16" s="30">
        <f t="shared" si="6"/>
        <v>49183.137142857144</v>
      </c>
      <c r="M16" s="54">
        <v>20</v>
      </c>
      <c r="N16" s="13">
        <f t="shared" si="7"/>
        <v>940</v>
      </c>
      <c r="O16" s="54">
        <v>20</v>
      </c>
      <c r="P16" s="13">
        <f t="shared" si="7"/>
        <v>940</v>
      </c>
      <c r="Q16" s="44">
        <f>+$C16*Summary!$A$14*27150/$N16/60</f>
        <v>10.07118834622824</v>
      </c>
      <c r="S16" s="84">
        <f t="shared" si="8"/>
        <v>470</v>
      </c>
    </row>
    <row r="17" spans="2:19" ht="11.25">
      <c r="B17" s="22" t="s">
        <v>124</v>
      </c>
      <c r="C17" s="27">
        <f t="shared" si="0"/>
        <v>15.438406795224976</v>
      </c>
      <c r="D17" s="87">
        <v>672497</v>
      </c>
      <c r="E17" s="22">
        <v>2.5</v>
      </c>
      <c r="F17" s="28">
        <f t="shared" si="1"/>
        <v>0.35714285714285715</v>
      </c>
      <c r="G17" s="29">
        <f t="shared" si="2"/>
        <v>20014.791666666668</v>
      </c>
      <c r="H17" s="29">
        <f t="shared" si="3"/>
        <v>149710.6416666667</v>
      </c>
      <c r="I17" s="22">
        <v>1</v>
      </c>
      <c r="J17" s="28">
        <f t="shared" si="4"/>
        <v>0.14285714285714285</v>
      </c>
      <c r="K17" s="29">
        <f t="shared" si="5"/>
        <v>8005.916666666667</v>
      </c>
      <c r="L17" s="30">
        <f t="shared" si="6"/>
        <v>59884.256666666675</v>
      </c>
      <c r="M17" s="54">
        <v>24</v>
      </c>
      <c r="N17" s="13">
        <f t="shared" si="7"/>
        <v>1128</v>
      </c>
      <c r="O17" s="54">
        <v>24</v>
      </c>
      <c r="P17" s="13">
        <f t="shared" si="7"/>
        <v>1128</v>
      </c>
      <c r="Q17" s="44">
        <f>+$C17*Summary!$A$14*27150/$N17/60</f>
        <v>10.218706093514935</v>
      </c>
      <c r="S17" s="84">
        <f t="shared" si="8"/>
        <v>564</v>
      </c>
    </row>
    <row r="18" spans="1:31" s="31" customFormat="1" ht="11.25">
      <c r="A18" s="31" t="s">
        <v>125</v>
      </c>
      <c r="B18" s="32" t="s">
        <v>126</v>
      </c>
      <c r="C18" s="33">
        <f t="shared" si="0"/>
        <v>134.02947658402204</v>
      </c>
      <c r="D18" s="88">
        <v>5838324</v>
      </c>
      <c r="E18" s="32">
        <v>2.5</v>
      </c>
      <c r="F18" s="34">
        <f t="shared" si="1"/>
        <v>0.35714285714285715</v>
      </c>
      <c r="G18" s="35">
        <f t="shared" si="2"/>
        <v>173759.64285714287</v>
      </c>
      <c r="H18" s="35">
        <f t="shared" si="3"/>
        <v>1299722.1285714288</v>
      </c>
      <c r="I18" s="32">
        <v>1</v>
      </c>
      <c r="J18" s="34">
        <f t="shared" si="4"/>
        <v>0.14285714285714285</v>
      </c>
      <c r="K18" s="35">
        <f t="shared" si="5"/>
        <v>69503.85714285714</v>
      </c>
      <c r="L18" s="36">
        <f t="shared" si="6"/>
        <v>519888.85142857145</v>
      </c>
      <c r="M18" s="54"/>
      <c r="N18" s="13">
        <v>1200</v>
      </c>
      <c r="O18" s="54"/>
      <c r="P18" s="13">
        <v>1200</v>
      </c>
      <c r="Q18" s="44">
        <f>+$C18*Summary!$A$14*27150/$N18/60</f>
        <v>83.3914649621212</v>
      </c>
      <c r="R18" s="13"/>
      <c r="S18" s="84">
        <f t="shared" si="8"/>
        <v>1200</v>
      </c>
      <c r="T18" s="37">
        <v>1029</v>
      </c>
      <c r="U18" s="37">
        <v>0.5</v>
      </c>
      <c r="V18" s="38">
        <f>(3.14159*T18^2)*U18</f>
        <v>1663222.148595</v>
      </c>
      <c r="W18" s="38">
        <f>(2*3.14159*T18)*U18</f>
        <v>3232.69611</v>
      </c>
      <c r="X18" s="37">
        <v>9.1</v>
      </c>
      <c r="Y18" s="38">
        <f>W18/X18</f>
        <v>355.2413307692308</v>
      </c>
      <c r="Z18" s="39">
        <f>Y18/60</f>
        <v>5.920688846153847</v>
      </c>
      <c r="AA18" s="37">
        <f>N18</f>
        <v>1200</v>
      </c>
      <c r="AB18" s="38">
        <f>Y18*AA18</f>
        <v>426289.59692307696</v>
      </c>
      <c r="AC18" s="38">
        <f>AB18/7.48</f>
        <v>56990.58782394077</v>
      </c>
      <c r="AD18" s="40">
        <f>(AC18/V18)*12</f>
        <v>0.4111820266853709</v>
      </c>
      <c r="AE18" s="40">
        <f>AD18/Z18</f>
        <v>0.06944834247664947</v>
      </c>
    </row>
    <row r="19" spans="1:31" s="31" customFormat="1" ht="11.25">
      <c r="A19" s="31" t="s">
        <v>125</v>
      </c>
      <c r="B19" s="32" t="s">
        <v>127</v>
      </c>
      <c r="C19" s="33">
        <f t="shared" si="0"/>
        <v>43.685032139577594</v>
      </c>
      <c r="D19" s="88">
        <v>1902920</v>
      </c>
      <c r="E19" s="32">
        <v>2.5</v>
      </c>
      <c r="F19" s="34">
        <f t="shared" si="1"/>
        <v>0.35714285714285715</v>
      </c>
      <c r="G19" s="35">
        <f t="shared" si="2"/>
        <v>56634.52380952381</v>
      </c>
      <c r="H19" s="35">
        <f t="shared" si="3"/>
        <v>423626.2380952381</v>
      </c>
      <c r="I19" s="32">
        <v>1</v>
      </c>
      <c r="J19" s="34">
        <f t="shared" si="4"/>
        <v>0.14285714285714285</v>
      </c>
      <c r="K19" s="35">
        <f t="shared" si="5"/>
        <v>22653.809523809523</v>
      </c>
      <c r="L19" s="36">
        <f t="shared" si="6"/>
        <v>169450.49523809523</v>
      </c>
      <c r="M19" s="54"/>
      <c r="N19" s="13">
        <v>1200</v>
      </c>
      <c r="O19" s="54"/>
      <c r="P19" s="13">
        <v>1200</v>
      </c>
      <c r="Q19" s="44">
        <f>+$C19*Summary!$A$14*27150/$N19/60</f>
        <v>27.180280934343436</v>
      </c>
      <c r="R19" s="13"/>
      <c r="S19" s="84">
        <f t="shared" si="8"/>
        <v>1200</v>
      </c>
      <c r="T19" s="37">
        <v>1186</v>
      </c>
      <c r="U19" s="37">
        <v>1</v>
      </c>
      <c r="V19" s="38">
        <f>(3.14159*T19^2)*U19</f>
        <v>4418947.927639999</v>
      </c>
      <c r="W19" s="38">
        <f>(2*3.14159*T19)*U19</f>
        <v>7451.851479999999</v>
      </c>
      <c r="X19" s="41" t="s">
        <v>128</v>
      </c>
      <c r="Y19" s="38" t="e">
        <f>W19/X19</f>
        <v>#VALUE!</v>
      </c>
      <c r="Z19" s="39" t="e">
        <f>Y19/60</f>
        <v>#VALUE!</v>
      </c>
      <c r="AA19" s="37">
        <f>N19</f>
        <v>1200</v>
      </c>
      <c r="AB19" s="38" t="e">
        <f>Y19*AA19</f>
        <v>#VALUE!</v>
      </c>
      <c r="AC19" s="38" t="e">
        <f>AB19/7.48</f>
        <v>#VALUE!</v>
      </c>
      <c r="AD19" s="40" t="e">
        <f>(AC19/V19)*12</f>
        <v>#VALUE!</v>
      </c>
      <c r="AE19" s="40" t="e">
        <f>AD19/Z19</f>
        <v>#VALUE!</v>
      </c>
    </row>
    <row r="20" spans="1:32" ht="11.25">
      <c r="A20" t="s">
        <v>112</v>
      </c>
      <c r="B20" s="22" t="s">
        <v>129</v>
      </c>
      <c r="C20" s="27">
        <f t="shared" si="0"/>
        <v>22.431496786042242</v>
      </c>
      <c r="D20" s="87">
        <v>977116</v>
      </c>
      <c r="E20" s="22">
        <v>2.5</v>
      </c>
      <c r="F20" s="28">
        <f t="shared" si="1"/>
        <v>0.35714285714285715</v>
      </c>
      <c r="G20" s="29">
        <f t="shared" si="2"/>
        <v>29080.833333333332</v>
      </c>
      <c r="H20" s="29">
        <f t="shared" si="3"/>
        <v>217524.63333333333</v>
      </c>
      <c r="I20" s="22">
        <v>1</v>
      </c>
      <c r="J20" s="28">
        <f t="shared" si="4"/>
        <v>0.14285714285714285</v>
      </c>
      <c r="K20" s="29">
        <f t="shared" si="5"/>
        <v>11632.333333333334</v>
      </c>
      <c r="L20" s="30">
        <f t="shared" si="6"/>
        <v>87009.85333333335</v>
      </c>
      <c r="M20" s="54"/>
      <c r="N20" s="13">
        <v>1200</v>
      </c>
      <c r="O20" s="54"/>
      <c r="P20" s="13">
        <v>1200</v>
      </c>
      <c r="Q20" s="44">
        <f>+$C20*Summary!$A$14*27150/$N20/60</f>
        <v>13.95659690656566</v>
      </c>
      <c r="S20" s="84">
        <f t="shared" si="8"/>
        <v>600</v>
      </c>
      <c r="T20" s="13"/>
      <c r="U20" s="13"/>
      <c r="V20" s="42"/>
      <c r="W20" s="42"/>
      <c r="X20" s="13"/>
      <c r="Y20" s="42"/>
      <c r="Z20" s="43"/>
      <c r="AA20" s="13"/>
      <c r="AB20" s="42"/>
      <c r="AC20" s="42"/>
      <c r="AD20" s="44"/>
      <c r="AE20" s="44"/>
      <c r="AF20" s="8"/>
    </row>
    <row r="21" spans="1:32" ht="11.25">
      <c r="A21" t="s">
        <v>112</v>
      </c>
      <c r="B21" s="22" t="s">
        <v>130</v>
      </c>
      <c r="C21" s="27">
        <f t="shared" si="0"/>
        <v>55.6013085399449</v>
      </c>
      <c r="D21" s="87">
        <v>2421993</v>
      </c>
      <c r="E21" s="22">
        <v>2.5</v>
      </c>
      <c r="F21" s="28">
        <f t="shared" si="1"/>
        <v>0.35714285714285715</v>
      </c>
      <c r="G21" s="29">
        <f t="shared" si="2"/>
        <v>72083.125</v>
      </c>
      <c r="H21" s="29">
        <f t="shared" si="3"/>
        <v>539181.775</v>
      </c>
      <c r="I21" s="22">
        <v>1</v>
      </c>
      <c r="J21" s="28">
        <f t="shared" si="4"/>
        <v>0.14285714285714285</v>
      </c>
      <c r="K21" s="29">
        <f t="shared" si="5"/>
        <v>28833.25</v>
      </c>
      <c r="L21" s="30">
        <f t="shared" si="6"/>
        <v>215672.71000000002</v>
      </c>
      <c r="M21" s="54"/>
      <c r="N21" s="13">
        <v>1200</v>
      </c>
      <c r="O21" s="54"/>
      <c r="P21" s="13">
        <v>1200</v>
      </c>
      <c r="Q21" s="44">
        <f>+$C21*Summary!$A$14*27150/$N21/60</f>
        <v>34.594439157196966</v>
      </c>
      <c r="S21" s="84">
        <f t="shared" si="8"/>
        <v>1200</v>
      </c>
      <c r="T21" s="13"/>
      <c r="U21" s="13"/>
      <c r="V21" s="42"/>
      <c r="W21" s="42"/>
      <c r="X21" s="13"/>
      <c r="Y21" s="42"/>
      <c r="Z21" s="43"/>
      <c r="AA21" s="13"/>
      <c r="AB21" s="42"/>
      <c r="AC21" s="42"/>
      <c r="AD21" s="44"/>
      <c r="AE21" s="44"/>
      <c r="AF21" s="8"/>
    </row>
    <row r="22" spans="1:32" ht="11.25">
      <c r="A22" t="s">
        <v>112</v>
      </c>
      <c r="B22" s="22" t="s">
        <v>131</v>
      </c>
      <c r="C22" s="27">
        <f t="shared" si="0"/>
        <v>25.27910927456382</v>
      </c>
      <c r="D22" s="87">
        <v>1101158</v>
      </c>
      <c r="E22" s="22">
        <v>2.5</v>
      </c>
      <c r="F22" s="28">
        <f t="shared" si="1"/>
        <v>0.35714285714285715</v>
      </c>
      <c r="G22" s="29">
        <f t="shared" si="2"/>
        <v>32772.55952380953</v>
      </c>
      <c r="H22" s="29">
        <f t="shared" si="3"/>
        <v>245138.74523809526</v>
      </c>
      <c r="I22" s="22">
        <v>1</v>
      </c>
      <c r="J22" s="28">
        <f t="shared" si="4"/>
        <v>0.14285714285714285</v>
      </c>
      <c r="K22" s="29">
        <f t="shared" si="5"/>
        <v>13109.02380952381</v>
      </c>
      <c r="L22" s="30">
        <f t="shared" si="6"/>
        <v>98055.4980952381</v>
      </c>
      <c r="M22" s="54" t="s">
        <v>179</v>
      </c>
      <c r="N22" s="13">
        <v>1200</v>
      </c>
      <c r="O22" s="54"/>
      <c r="P22" s="13">
        <v>1200</v>
      </c>
      <c r="Q22" s="44">
        <f>+$C22*Summary!$A$14*27150/$N22/60</f>
        <v>15.728345801767672</v>
      </c>
      <c r="S22" s="84">
        <f t="shared" si="8"/>
        <v>600</v>
      </c>
      <c r="T22" s="13"/>
      <c r="U22" s="13"/>
      <c r="V22" s="42"/>
      <c r="W22" s="42"/>
      <c r="X22" s="13"/>
      <c r="Y22" s="42"/>
      <c r="Z22" s="43"/>
      <c r="AA22" s="13"/>
      <c r="AB22" s="42"/>
      <c r="AC22" s="42"/>
      <c r="AD22" s="44"/>
      <c r="AE22" s="44"/>
      <c r="AF22" s="8"/>
    </row>
    <row r="23" spans="1:32" ht="11.25">
      <c r="A23" t="s">
        <v>112</v>
      </c>
      <c r="B23" s="22" t="s">
        <v>132</v>
      </c>
      <c r="C23" s="27">
        <f t="shared" si="0"/>
        <v>56.54217171717172</v>
      </c>
      <c r="D23" s="87">
        <v>2462977</v>
      </c>
      <c r="E23" s="22">
        <v>2.5</v>
      </c>
      <c r="F23" s="28">
        <f t="shared" si="1"/>
        <v>0.35714285714285715</v>
      </c>
      <c r="G23" s="29">
        <f t="shared" si="2"/>
        <v>73302.88690476191</v>
      </c>
      <c r="H23" s="29">
        <f t="shared" si="3"/>
        <v>548305.5940476191</v>
      </c>
      <c r="I23" s="22">
        <v>1</v>
      </c>
      <c r="J23" s="28">
        <f t="shared" si="4"/>
        <v>0.14285714285714285</v>
      </c>
      <c r="K23" s="29">
        <f t="shared" si="5"/>
        <v>29321.15476190476</v>
      </c>
      <c r="L23" s="30">
        <f t="shared" si="6"/>
        <v>219322.2376190476</v>
      </c>
      <c r="M23" s="54" t="s">
        <v>180</v>
      </c>
      <c r="N23" s="13">
        <v>1200</v>
      </c>
      <c r="O23" s="54"/>
      <c r="P23" s="13">
        <v>1200</v>
      </c>
      <c r="Q23" s="44">
        <f>+$C23*Summary!$A$14*27150/$N23/60</f>
        <v>35.17983246527778</v>
      </c>
      <c r="S23" s="84">
        <f t="shared" si="8"/>
        <v>1200</v>
      </c>
      <c r="T23" s="13"/>
      <c r="U23" s="13"/>
      <c r="V23" s="42"/>
      <c r="W23" s="42"/>
      <c r="X23" s="13"/>
      <c r="Y23" s="42"/>
      <c r="Z23" s="43"/>
      <c r="AA23" s="13"/>
      <c r="AB23" s="42"/>
      <c r="AC23" s="42"/>
      <c r="AD23" s="44"/>
      <c r="AE23" s="44"/>
      <c r="AF23" s="8"/>
    </row>
    <row r="24" spans="2:32" ht="11.25">
      <c r="B24" s="22" t="s">
        <v>24</v>
      </c>
      <c r="C24" s="27">
        <f>SUM(C6:C23)</f>
        <v>504.45661157024796</v>
      </c>
      <c r="D24" s="87"/>
      <c r="E24" s="22"/>
      <c r="F24" s="22"/>
      <c r="G24" s="30">
        <f>SUM(G6:G23)</f>
        <v>653991.9642857143</v>
      </c>
      <c r="H24" s="30">
        <f>SUM(H6:H23)</f>
        <v>4891859.892857144</v>
      </c>
      <c r="I24" s="30"/>
      <c r="J24" s="30"/>
      <c r="K24" s="30">
        <f>SUM(K6:K23)</f>
        <v>261596.78571428574</v>
      </c>
      <c r="L24" s="30">
        <f>SUM(L6:L23)</f>
        <v>1956743.9571428571</v>
      </c>
      <c r="M24" s="54">
        <f>+C24*Summary!$A$14*27152.4/7*Summary!$A$10/12</f>
        <v>2690522.941071429</v>
      </c>
      <c r="N24" s="49">
        <f>SUM(N6:N23)</f>
        <v>19044</v>
      </c>
      <c r="O24" s="54"/>
      <c r="P24" s="21"/>
      <c r="Q24" s="44">
        <f>+$C24*Summary!$A$14*27150/$N24/60</f>
        <v>19.77735337185656</v>
      </c>
      <c r="R24" s="43" t="s">
        <v>177</v>
      </c>
      <c r="S24" s="86">
        <f>SUM(S6:S23)</f>
        <v>11922</v>
      </c>
      <c r="T24" s="13"/>
      <c r="U24" s="13"/>
      <c r="V24" s="42"/>
      <c r="W24" s="42"/>
      <c r="X24" s="13"/>
      <c r="Y24" s="42"/>
      <c r="Z24" s="43"/>
      <c r="AA24" s="13"/>
      <c r="AB24" s="42"/>
      <c r="AC24" s="42"/>
      <c r="AD24" s="44"/>
      <c r="AE24" s="44"/>
      <c r="AF24" s="8"/>
    </row>
    <row r="25" spans="2:32" ht="11.25">
      <c r="B25" s="49" t="s">
        <v>133</v>
      </c>
      <c r="C25" s="22">
        <v>590</v>
      </c>
      <c r="N25" s="13" t="s">
        <v>174</v>
      </c>
      <c r="Q25" s="44">
        <f>+Q24*N24</f>
        <v>376639.9176136363</v>
      </c>
      <c r="R25" s="43"/>
      <c r="S25" s="84">
        <f>+S24/N24</f>
        <v>0.6260239445494644</v>
      </c>
      <c r="T25" s="13"/>
      <c r="U25" s="13"/>
      <c r="V25" s="42"/>
      <c r="W25" s="42"/>
      <c r="X25" s="13"/>
      <c r="Y25" s="42"/>
      <c r="Z25" s="43"/>
      <c r="AA25" s="13"/>
      <c r="AB25" s="42"/>
      <c r="AC25" s="42"/>
      <c r="AD25" s="44"/>
      <c r="AE25" s="44"/>
      <c r="AF25" s="8"/>
    </row>
    <row r="26" spans="2:32" ht="11.25">
      <c r="B26" s="49" t="s">
        <v>134</v>
      </c>
      <c r="C26" s="89">
        <f>C24/C25</f>
        <v>0.8550112060512677</v>
      </c>
      <c r="N26" s="13" t="s">
        <v>176</v>
      </c>
      <c r="Q26" s="44">
        <f>+Q25/Summary!$A$15</f>
        <v>9415.997940340907</v>
      </c>
      <c r="T26" s="13"/>
      <c r="U26" s="13"/>
      <c r="V26" s="42"/>
      <c r="W26" s="42"/>
      <c r="X26" s="13"/>
      <c r="Y26" s="42"/>
      <c r="Z26" s="43"/>
      <c r="AA26" s="13"/>
      <c r="AB26" s="42"/>
      <c r="AC26" s="42"/>
      <c r="AD26" s="44"/>
      <c r="AE26" s="44"/>
      <c r="AF26" s="8"/>
    </row>
    <row r="27" spans="18:32" ht="11.25">
      <c r="R27" s="43"/>
      <c r="T27" s="13"/>
      <c r="U27" s="13"/>
      <c r="V27" s="42"/>
      <c r="W27" s="42"/>
      <c r="X27" s="13"/>
      <c r="Y27" s="42"/>
      <c r="Z27" s="43"/>
      <c r="AA27" s="13"/>
      <c r="AB27" s="42"/>
      <c r="AC27" s="42"/>
      <c r="AD27" s="44"/>
      <c r="AE27" s="44"/>
      <c r="AF27" s="8"/>
    </row>
    <row r="28" spans="18:32" ht="11.25">
      <c r="R28" s="43"/>
      <c r="T28" s="13"/>
      <c r="U28" s="13"/>
      <c r="V28" s="42"/>
      <c r="W28" s="42"/>
      <c r="X28" s="13"/>
      <c r="Y28" s="42"/>
      <c r="Z28" s="43"/>
      <c r="AA28" s="13"/>
      <c r="AB28" s="42"/>
      <c r="AC28" s="42"/>
      <c r="AD28" s="44"/>
      <c r="AE28" s="44"/>
      <c r="AF28" s="8"/>
    </row>
    <row r="29" spans="8:32" ht="12.75" customHeight="1">
      <c r="H29" s="20"/>
      <c r="R29" s="43"/>
      <c r="T29" s="13"/>
      <c r="U29" s="13"/>
      <c r="V29" s="42"/>
      <c r="W29" s="42"/>
      <c r="X29" s="13"/>
      <c r="Y29" s="42"/>
      <c r="Z29" s="43"/>
      <c r="AA29" s="13"/>
      <c r="AB29" s="42"/>
      <c r="AC29" s="42"/>
      <c r="AD29" s="44"/>
      <c r="AE29" s="44"/>
      <c r="AF29" s="8"/>
    </row>
    <row r="30" spans="2:32" ht="18">
      <c r="B30" s="91" t="s">
        <v>187</v>
      </c>
      <c r="H30" s="20" t="s">
        <v>135</v>
      </c>
      <c r="R30" s="43"/>
      <c r="T30" s="13"/>
      <c r="U30" s="13"/>
      <c r="V30" s="42"/>
      <c r="W30" s="42"/>
      <c r="X30" s="13"/>
      <c r="Y30" s="42"/>
      <c r="Z30" s="43"/>
      <c r="AA30" s="13"/>
      <c r="AB30" s="42"/>
      <c r="AC30" s="42"/>
      <c r="AD30" s="44"/>
      <c r="AE30" s="44"/>
      <c r="AF30" s="8"/>
    </row>
    <row r="31" spans="17:32" ht="11.25">
      <c r="Q31" s="44" t="s">
        <v>175</v>
      </c>
      <c r="R31" s="43"/>
      <c r="T31" s="13"/>
      <c r="U31" s="13"/>
      <c r="V31" s="42"/>
      <c r="W31" s="42"/>
      <c r="X31" s="13"/>
      <c r="Y31" s="42"/>
      <c r="Z31" s="43"/>
      <c r="AA31" s="13"/>
      <c r="AB31" s="42"/>
      <c r="AC31" s="42"/>
      <c r="AD31" s="44"/>
      <c r="AE31" s="44"/>
      <c r="AF31" s="8"/>
    </row>
    <row r="32" spans="2:32" ht="11.25">
      <c r="B32" s="22" t="s">
        <v>75</v>
      </c>
      <c r="C32" s="22" t="s">
        <v>76</v>
      </c>
      <c r="D32" s="87" t="s">
        <v>76</v>
      </c>
      <c r="E32" s="23" t="s">
        <v>77</v>
      </c>
      <c r="F32" s="24"/>
      <c r="G32" s="23" t="s">
        <v>78</v>
      </c>
      <c r="H32" s="24"/>
      <c r="I32" s="23" t="s">
        <v>79</v>
      </c>
      <c r="J32" s="24"/>
      <c r="K32" s="23" t="s">
        <v>80</v>
      </c>
      <c r="L32" s="24"/>
      <c r="M32" s="84"/>
      <c r="N32" s="13" t="s">
        <v>11</v>
      </c>
      <c r="O32" s="84"/>
      <c r="P32" s="21" t="s">
        <v>11</v>
      </c>
      <c r="Q32" s="82" t="s">
        <v>81</v>
      </c>
      <c r="R32" s="43"/>
      <c r="T32" s="13"/>
      <c r="U32" s="13"/>
      <c r="V32" s="42"/>
      <c r="W32" s="42"/>
      <c r="X32" s="13"/>
      <c r="Y32" s="42"/>
      <c r="Z32" s="43"/>
      <c r="AA32" s="13"/>
      <c r="AB32" s="42"/>
      <c r="AC32" s="42"/>
      <c r="AD32" s="44"/>
      <c r="AE32" s="44"/>
      <c r="AF32" s="8"/>
    </row>
    <row r="33" spans="2:32" ht="11.25">
      <c r="B33" s="22"/>
      <c r="C33" s="22" t="s">
        <v>93</v>
      </c>
      <c r="D33" s="87" t="s">
        <v>94</v>
      </c>
      <c r="E33" s="22" t="s">
        <v>95</v>
      </c>
      <c r="F33" s="22" t="s">
        <v>96</v>
      </c>
      <c r="G33" s="22" t="s">
        <v>97</v>
      </c>
      <c r="H33" s="22" t="s">
        <v>98</v>
      </c>
      <c r="I33" s="22" t="s">
        <v>95</v>
      </c>
      <c r="J33" s="22" t="s">
        <v>96</v>
      </c>
      <c r="K33" s="22" t="s">
        <v>97</v>
      </c>
      <c r="L33" s="22" t="s">
        <v>98</v>
      </c>
      <c r="M33" s="46"/>
      <c r="N33" s="21" t="s">
        <v>40</v>
      </c>
      <c r="O33" s="21" t="s">
        <v>99</v>
      </c>
      <c r="P33" s="21" t="s">
        <v>40</v>
      </c>
      <c r="Q33" s="82" t="s">
        <v>100</v>
      </c>
      <c r="R33" s="43"/>
      <c r="T33" s="13"/>
      <c r="U33" s="13"/>
      <c r="V33" s="42"/>
      <c r="W33" s="42"/>
      <c r="X33" s="13"/>
      <c r="Y33" s="42"/>
      <c r="Z33" s="43"/>
      <c r="AA33" s="13"/>
      <c r="AB33" s="42"/>
      <c r="AC33" s="42"/>
      <c r="AD33" s="44"/>
      <c r="AE33" s="44"/>
      <c r="AF33" s="8"/>
    </row>
    <row r="34" spans="1:31" s="31" customFormat="1" ht="11.25">
      <c r="A34" s="31" t="s">
        <v>125</v>
      </c>
      <c r="B34" s="32" t="s">
        <v>126</v>
      </c>
      <c r="C34" s="33">
        <f>D34/43560</f>
        <v>30.903374655647383</v>
      </c>
      <c r="D34" s="88">
        <v>1346151</v>
      </c>
      <c r="E34" s="32">
        <v>2.5</v>
      </c>
      <c r="F34" s="34">
        <f>E34/7</f>
        <v>0.35714285714285715</v>
      </c>
      <c r="G34" s="35">
        <f>F34*D34/12</f>
        <v>40064.01785714286</v>
      </c>
      <c r="H34" s="35">
        <f>G34*7.48</f>
        <v>299678.8535714286</v>
      </c>
      <c r="I34" s="32">
        <v>1</v>
      </c>
      <c r="J34" s="34">
        <f>I34/7</f>
        <v>0.14285714285714285</v>
      </c>
      <c r="K34" s="35">
        <f>J34*D34/12</f>
        <v>16025.607142857143</v>
      </c>
      <c r="L34" s="36">
        <f>K34*7.48</f>
        <v>119871.54142857144</v>
      </c>
      <c r="M34" s="54"/>
      <c r="N34" s="13">
        <v>1000</v>
      </c>
      <c r="O34" s="54"/>
      <c r="P34" s="13">
        <v>1000</v>
      </c>
      <c r="Q34" s="44">
        <f>+$C34*Summary!$A$14*27150/$N34/60</f>
        <v>23.073232102272723</v>
      </c>
      <c r="R34" s="13"/>
      <c r="S34" s="84">
        <f>IF(Q34&gt;=24,N34,N34/2)</f>
        <v>500</v>
      </c>
      <c r="T34" s="37">
        <v>548</v>
      </c>
      <c r="U34" s="37">
        <v>1</v>
      </c>
      <c r="V34" s="38">
        <f>(3.14159*T34^2)*U34</f>
        <v>943432.04336</v>
      </c>
      <c r="W34" s="38">
        <f>(2*3.14159*T34)*U34</f>
        <v>3443.18264</v>
      </c>
      <c r="X34" s="37">
        <v>18.21</v>
      </c>
      <c r="Y34" s="38">
        <f>W34/X34</f>
        <v>189.08196814936846</v>
      </c>
      <c r="Z34" s="39">
        <f>Y34/60</f>
        <v>3.1513661358228076</v>
      </c>
      <c r="AA34" s="37">
        <f>N34</f>
        <v>1000</v>
      </c>
      <c r="AB34" s="38">
        <f>Y34*AA34</f>
        <v>189081.96814936848</v>
      </c>
      <c r="AC34" s="38">
        <f>AB34/7.48</f>
        <v>25278.337987883486</v>
      </c>
      <c r="AD34" s="40">
        <f>(AC34/V34)*12</f>
        <v>0.3215282520766063</v>
      </c>
      <c r="AE34" s="40">
        <f>AD34/Z34</f>
        <v>0.10202821196231986</v>
      </c>
    </row>
    <row r="35" spans="1:31" s="31" customFormat="1" ht="11.25">
      <c r="A35" s="31" t="s">
        <v>125</v>
      </c>
      <c r="B35" s="32" t="s">
        <v>127</v>
      </c>
      <c r="C35" s="33">
        <f>D35/43560</f>
        <v>61.34605142332415</v>
      </c>
      <c r="D35" s="88">
        <v>2672234</v>
      </c>
      <c r="E35" s="32">
        <v>2.5</v>
      </c>
      <c r="F35" s="34">
        <f>E35/7</f>
        <v>0.35714285714285715</v>
      </c>
      <c r="G35" s="35">
        <f>F35*D35/12</f>
        <v>79530.7738095238</v>
      </c>
      <c r="H35" s="35">
        <f>G35*7.48</f>
        <v>594890.1880952381</v>
      </c>
      <c r="I35" s="32">
        <v>1</v>
      </c>
      <c r="J35" s="34">
        <f>I35/7</f>
        <v>0.14285714285714285</v>
      </c>
      <c r="K35" s="35">
        <f>J35*D35/12</f>
        <v>31812.309523809523</v>
      </c>
      <c r="L35" s="36">
        <f>K35*7.48</f>
        <v>237956.07523809525</v>
      </c>
      <c r="M35" s="54"/>
      <c r="N35" s="13">
        <v>850</v>
      </c>
      <c r="O35" s="54"/>
      <c r="P35" s="13">
        <v>850</v>
      </c>
      <c r="Q35" s="44">
        <f>+$C35*Summary!$A$14*27150/$N35/60</f>
        <v>53.88528899286987</v>
      </c>
      <c r="R35" s="13"/>
      <c r="S35" s="84">
        <f>IF(Q35&gt;=24,N35,N35/2)</f>
        <v>850</v>
      </c>
      <c r="T35" s="37">
        <v>841</v>
      </c>
      <c r="U35" s="37">
        <v>1</v>
      </c>
      <c r="V35" s="38">
        <f>(3.14159*T35^2)*U35</f>
        <v>2221986.9167899997</v>
      </c>
      <c r="W35" s="38">
        <f>(2*3.14159*T35)*U35</f>
        <v>5284.15438</v>
      </c>
      <c r="X35" s="37">
        <v>18.21</v>
      </c>
      <c r="Y35" s="38">
        <f>W35/X35</f>
        <v>290.1787138934651</v>
      </c>
      <c r="Z35" s="39">
        <f>Y35/60</f>
        <v>4.836311898224419</v>
      </c>
      <c r="AA35" s="37">
        <f>N35</f>
        <v>850</v>
      </c>
      <c r="AB35" s="38">
        <f>Y35*AA35</f>
        <v>246651.90680944533</v>
      </c>
      <c r="AC35" s="38">
        <f>AB35/7.48</f>
        <v>32974.85385153012</v>
      </c>
      <c r="AD35" s="40">
        <f>(AC35/V35)*12</f>
        <v>0.17808306755919523</v>
      </c>
      <c r="AE35" s="40">
        <f>AD35/Z35</f>
        <v>0.036822080814220406</v>
      </c>
    </row>
    <row r="36" spans="1:32" ht="11.25">
      <c r="A36" t="s">
        <v>112</v>
      </c>
      <c r="B36" s="22" t="s">
        <v>129</v>
      </c>
      <c r="C36" s="27">
        <f>D36/43560</f>
        <v>3.733379247015611</v>
      </c>
      <c r="D36" s="87">
        <v>162626</v>
      </c>
      <c r="E36" s="22">
        <v>2.5</v>
      </c>
      <c r="F36" s="28">
        <f>E36/7</f>
        <v>0.35714285714285715</v>
      </c>
      <c r="G36" s="29">
        <f>F36*D36/12</f>
        <v>4840.059523809524</v>
      </c>
      <c r="H36" s="29">
        <f>G36*7.48</f>
        <v>36203.64523809524</v>
      </c>
      <c r="I36" s="22">
        <v>1</v>
      </c>
      <c r="J36" s="28">
        <f>I36/7</f>
        <v>0.14285714285714285</v>
      </c>
      <c r="K36" s="29">
        <f>J36*D36/12</f>
        <v>1936.0238095238094</v>
      </c>
      <c r="L36" s="30">
        <f>K36*7.48</f>
        <v>14481.458095238095</v>
      </c>
      <c r="M36" s="54" t="s">
        <v>179</v>
      </c>
      <c r="N36" s="13">
        <v>850</v>
      </c>
      <c r="O36" s="54"/>
      <c r="P36" s="13">
        <v>850</v>
      </c>
      <c r="Q36" s="44">
        <f>+$C36*Summary!$A$14*27150/$N36/60</f>
        <v>3.27933444741533</v>
      </c>
      <c r="S36" s="84">
        <f>IF(Q36&gt;=24,N36,N36/2)</f>
        <v>425</v>
      </c>
      <c r="T36" s="13"/>
      <c r="U36" s="13"/>
      <c r="V36" s="42"/>
      <c r="W36" s="42"/>
      <c r="X36" s="13"/>
      <c r="Y36" s="42"/>
      <c r="Z36" s="43"/>
      <c r="AA36" s="13"/>
      <c r="AB36" s="42"/>
      <c r="AC36" s="42"/>
      <c r="AD36" s="44"/>
      <c r="AE36" s="44"/>
      <c r="AF36" s="8"/>
    </row>
    <row r="37" spans="1:32" ht="12" customHeight="1">
      <c r="A37" t="s">
        <v>112</v>
      </c>
      <c r="B37" s="22" t="s">
        <v>130</v>
      </c>
      <c r="C37" s="27">
        <f>D37/43560</f>
        <v>8.56230486685032</v>
      </c>
      <c r="D37" s="87">
        <v>372974</v>
      </c>
      <c r="E37" s="22">
        <v>2.5</v>
      </c>
      <c r="F37" s="28">
        <f>E37/7</f>
        <v>0.35714285714285715</v>
      </c>
      <c r="G37" s="29">
        <f>F37*D37/12</f>
        <v>11100.416666666666</v>
      </c>
      <c r="H37" s="29">
        <f>G37*7.48</f>
        <v>83031.11666666667</v>
      </c>
      <c r="I37" s="22">
        <v>1</v>
      </c>
      <c r="J37" s="28">
        <f>I37/7</f>
        <v>0.14285714285714285</v>
      </c>
      <c r="K37" s="29">
        <f>J37*D37/12</f>
        <v>4440.166666666667</v>
      </c>
      <c r="L37" s="30">
        <f>K37*7.48</f>
        <v>33212.44666666667</v>
      </c>
      <c r="M37" s="54" t="s">
        <v>180</v>
      </c>
      <c r="N37" s="13">
        <v>1200</v>
      </c>
      <c r="O37" s="54"/>
      <c r="P37" s="13">
        <v>1200</v>
      </c>
      <c r="Q37" s="44">
        <f>+$C37*Summary!$A$14*27150/$N37/60</f>
        <v>5.327359059343433</v>
      </c>
      <c r="S37" s="84">
        <f>IF(Q37&gt;=24,N37,N37/2)</f>
        <v>600</v>
      </c>
      <c r="T37" s="13"/>
      <c r="U37" s="13"/>
      <c r="V37" s="42"/>
      <c r="W37" s="42"/>
      <c r="X37" s="13"/>
      <c r="Y37" s="42"/>
      <c r="Z37" s="43"/>
      <c r="AA37" s="13"/>
      <c r="AB37" s="42"/>
      <c r="AC37" s="42"/>
      <c r="AD37" s="44"/>
      <c r="AE37" s="44"/>
      <c r="AF37" s="8"/>
    </row>
    <row r="38" spans="2:32" ht="11.25">
      <c r="B38" s="22" t="s">
        <v>24</v>
      </c>
      <c r="C38" s="27">
        <f>C34+C35+C36+C37</f>
        <v>104.54511019283747</v>
      </c>
      <c r="D38" s="87"/>
      <c r="E38" s="22"/>
      <c r="F38" s="22"/>
      <c r="G38" s="30">
        <f>SUM(G34:G37)</f>
        <v>135535.26785714284</v>
      </c>
      <c r="H38" s="30">
        <f>SUM(H34:H37)</f>
        <v>1013803.8035714286</v>
      </c>
      <c r="I38" s="30"/>
      <c r="J38" s="30"/>
      <c r="K38" s="30">
        <f>SUM(K34:K37)</f>
        <v>54214.10714285714</v>
      </c>
      <c r="L38" s="30">
        <f>SUM(L34:L37)</f>
        <v>405521.52142857143</v>
      </c>
      <c r="M38" s="54">
        <f>+C38*Summary!$A$14*27152.4/7*Summary!$A$10/12</f>
        <v>557592.0919642858</v>
      </c>
      <c r="N38" s="49">
        <f>SUM(N34:N37)</f>
        <v>3900</v>
      </c>
      <c r="O38" s="54"/>
      <c r="P38" s="21"/>
      <c r="Q38" s="44">
        <f>+$C38*Summary!$A$14*27150/$N38/60</f>
        <v>20.014357153263404</v>
      </c>
      <c r="R38" s="43" t="s">
        <v>177</v>
      </c>
      <c r="S38" s="86">
        <f>SUM(S34:S37)</f>
        <v>2375</v>
      </c>
      <c r="T38" s="13"/>
      <c r="U38" s="13"/>
      <c r="V38" s="42"/>
      <c r="W38" s="42"/>
      <c r="X38" s="13"/>
      <c r="Y38" s="42"/>
      <c r="Z38" s="43"/>
      <c r="AA38" s="13"/>
      <c r="AB38" s="42"/>
      <c r="AC38" s="42"/>
      <c r="AD38" s="44"/>
      <c r="AE38" s="44"/>
      <c r="AF38" s="8"/>
    </row>
    <row r="39" spans="2:32" ht="11.25">
      <c r="B39" s="49" t="s">
        <v>133</v>
      </c>
      <c r="C39" s="22">
        <v>140.9</v>
      </c>
      <c r="D39" s="25"/>
      <c r="E39" s="25"/>
      <c r="F39" s="25"/>
      <c r="G39" s="25"/>
      <c r="H39" s="25"/>
      <c r="I39" s="25"/>
      <c r="J39" s="25"/>
      <c r="K39" s="25"/>
      <c r="L39" s="25"/>
      <c r="M39" s="84"/>
      <c r="N39" s="13" t="s">
        <v>174</v>
      </c>
      <c r="O39" s="84"/>
      <c r="Q39" s="44">
        <f>+Q38*N38</f>
        <v>78055.99289772728</v>
      </c>
      <c r="R39" s="43"/>
      <c r="S39" s="84">
        <f>+S38/N38</f>
        <v>0.6089743589743589</v>
      </c>
      <c r="T39" s="13"/>
      <c r="U39" s="13"/>
      <c r="V39" s="42"/>
      <c r="W39" s="42"/>
      <c r="X39" s="13"/>
      <c r="Y39" s="42"/>
      <c r="Z39" s="43"/>
      <c r="AA39" s="13"/>
      <c r="AB39" s="42"/>
      <c r="AC39" s="42"/>
      <c r="AD39" s="44"/>
      <c r="AE39" s="44"/>
      <c r="AF39" s="8"/>
    </row>
    <row r="40" spans="2:32" ht="11.25">
      <c r="B40" s="49" t="s">
        <v>134</v>
      </c>
      <c r="C40" s="89">
        <f>C38/C39</f>
        <v>0.7419809098143184</v>
      </c>
      <c r="D40" s="25"/>
      <c r="E40" s="25"/>
      <c r="F40" s="25"/>
      <c r="G40" s="25"/>
      <c r="H40" s="25"/>
      <c r="I40" s="25"/>
      <c r="J40" s="25"/>
      <c r="K40" s="25"/>
      <c r="L40" s="25"/>
      <c r="M40" s="84"/>
      <c r="N40" s="13" t="s">
        <v>176</v>
      </c>
      <c r="O40" s="84"/>
      <c r="Q40" s="44">
        <f>+Q39/Summary!$A$15</f>
        <v>1951.399822443182</v>
      </c>
      <c r="T40" s="13"/>
      <c r="U40" s="13"/>
      <c r="V40" s="42"/>
      <c r="W40" s="42"/>
      <c r="X40" s="13"/>
      <c r="Y40" s="42"/>
      <c r="Z40" s="43"/>
      <c r="AA40" s="13"/>
      <c r="AB40" s="42"/>
      <c r="AC40" s="42"/>
      <c r="AD40" s="44"/>
      <c r="AE40" s="44"/>
      <c r="AF40" s="8"/>
    </row>
    <row r="41" spans="2:32" ht="11.25">
      <c r="B41" s="25"/>
      <c r="C41" s="26"/>
      <c r="D41" s="25"/>
      <c r="E41" s="25"/>
      <c r="F41" s="25"/>
      <c r="G41" s="25"/>
      <c r="H41" s="25"/>
      <c r="I41" s="25"/>
      <c r="J41" s="25"/>
      <c r="K41" s="25"/>
      <c r="L41" s="25"/>
      <c r="M41" s="84"/>
      <c r="O41" s="84"/>
      <c r="R41" s="43"/>
      <c r="T41" s="13"/>
      <c r="U41" s="13"/>
      <c r="V41" s="42"/>
      <c r="W41" s="42"/>
      <c r="X41" s="13"/>
      <c r="Y41" s="42"/>
      <c r="Z41" s="43"/>
      <c r="AA41" s="13"/>
      <c r="AB41" s="42"/>
      <c r="AC41" s="42"/>
      <c r="AD41" s="44"/>
      <c r="AE41" s="44"/>
      <c r="AF41" s="8"/>
    </row>
    <row r="42" spans="2:32" ht="12.75" customHeight="1">
      <c r="B42" s="25"/>
      <c r="C42" s="26"/>
      <c r="D42" s="25"/>
      <c r="E42" s="25"/>
      <c r="F42" s="25"/>
      <c r="G42" s="25"/>
      <c r="H42" s="47"/>
      <c r="I42" s="25"/>
      <c r="J42" s="25"/>
      <c r="K42" s="25"/>
      <c r="L42" s="25"/>
      <c r="M42" s="84"/>
      <c r="O42" s="84"/>
      <c r="R42" s="43"/>
      <c r="T42" s="13"/>
      <c r="U42" s="13"/>
      <c r="V42" s="42"/>
      <c r="W42" s="42"/>
      <c r="X42" s="13"/>
      <c r="Y42" s="42"/>
      <c r="Z42" s="43"/>
      <c r="AA42" s="13"/>
      <c r="AB42" s="42"/>
      <c r="AC42" s="42"/>
      <c r="AD42" s="44"/>
      <c r="AE42" s="44"/>
      <c r="AF42" s="8"/>
    </row>
    <row r="43" spans="2:32" ht="11.25">
      <c r="B43" s="25"/>
      <c r="C43" s="26"/>
      <c r="D43" s="25"/>
      <c r="E43" s="25"/>
      <c r="F43" s="25"/>
      <c r="G43" s="25"/>
      <c r="H43" s="25"/>
      <c r="I43" s="25"/>
      <c r="J43" s="25"/>
      <c r="K43" s="25"/>
      <c r="L43" s="25"/>
      <c r="M43" s="84"/>
      <c r="O43" s="84"/>
      <c r="R43" s="43"/>
      <c r="T43" s="13"/>
      <c r="U43" s="13"/>
      <c r="V43" s="42"/>
      <c r="W43" s="42"/>
      <c r="X43" s="13"/>
      <c r="Y43" s="42"/>
      <c r="Z43" s="43"/>
      <c r="AA43" s="13"/>
      <c r="AB43" s="42"/>
      <c r="AC43" s="42"/>
      <c r="AD43" s="44"/>
      <c r="AE43" s="44"/>
      <c r="AF43" s="8"/>
    </row>
    <row r="44" spans="2:32" ht="18">
      <c r="B44" s="91" t="s">
        <v>188</v>
      </c>
      <c r="H44" s="20" t="s">
        <v>136</v>
      </c>
      <c r="R44" s="43"/>
      <c r="T44" s="13"/>
      <c r="U44" s="13"/>
      <c r="V44" s="42"/>
      <c r="W44" s="42"/>
      <c r="X44" s="13"/>
      <c r="Y44" s="42"/>
      <c r="Z44" s="43"/>
      <c r="AA44" s="13"/>
      <c r="AB44" s="42"/>
      <c r="AC44" s="42"/>
      <c r="AD44" s="44"/>
      <c r="AE44" s="44"/>
      <c r="AF44" s="8"/>
    </row>
    <row r="45" spans="17:32" ht="11.25">
      <c r="Q45" s="44" t="s">
        <v>175</v>
      </c>
      <c r="R45" s="43"/>
      <c r="T45" s="13"/>
      <c r="U45" s="13"/>
      <c r="V45" s="42"/>
      <c r="W45" s="42"/>
      <c r="X45" s="13"/>
      <c r="Y45" s="42"/>
      <c r="Z45" s="43"/>
      <c r="AA45" s="13"/>
      <c r="AB45" s="42"/>
      <c r="AC45" s="42"/>
      <c r="AD45" s="44"/>
      <c r="AE45" s="44"/>
      <c r="AF45" s="8"/>
    </row>
    <row r="46" spans="2:32" ht="11.25">
      <c r="B46" s="22" t="s">
        <v>75</v>
      </c>
      <c r="C46" s="22" t="s">
        <v>76</v>
      </c>
      <c r="D46" s="87" t="s">
        <v>76</v>
      </c>
      <c r="E46" s="23" t="s">
        <v>77</v>
      </c>
      <c r="F46" s="24"/>
      <c r="G46" s="23" t="s">
        <v>78</v>
      </c>
      <c r="H46" s="24"/>
      <c r="I46" s="23" t="s">
        <v>79</v>
      </c>
      <c r="J46" s="24"/>
      <c r="K46" s="23" t="s">
        <v>80</v>
      </c>
      <c r="L46" s="24"/>
      <c r="M46" s="84"/>
      <c r="N46" s="13" t="s">
        <v>11</v>
      </c>
      <c r="O46" s="84"/>
      <c r="P46" s="21" t="s">
        <v>11</v>
      </c>
      <c r="Q46" s="82" t="s">
        <v>81</v>
      </c>
      <c r="R46" s="43"/>
      <c r="T46" s="13"/>
      <c r="U46" s="13"/>
      <c r="V46" s="42"/>
      <c r="W46" s="42"/>
      <c r="X46" s="13"/>
      <c r="Y46" s="42"/>
      <c r="Z46" s="43"/>
      <c r="AA46" s="13"/>
      <c r="AB46" s="42"/>
      <c r="AC46" s="42"/>
      <c r="AD46" s="44"/>
      <c r="AE46" s="44"/>
      <c r="AF46" s="8"/>
    </row>
    <row r="47" spans="2:32" ht="11.25">
      <c r="B47" s="22"/>
      <c r="C47" s="22" t="s">
        <v>93</v>
      </c>
      <c r="D47" s="87" t="s">
        <v>94</v>
      </c>
      <c r="E47" s="22" t="s">
        <v>95</v>
      </c>
      <c r="F47" s="22" t="s">
        <v>96</v>
      </c>
      <c r="G47" s="22" t="s">
        <v>97</v>
      </c>
      <c r="H47" s="22" t="s">
        <v>98</v>
      </c>
      <c r="I47" s="22" t="s">
        <v>95</v>
      </c>
      <c r="J47" s="22" t="s">
        <v>96</v>
      </c>
      <c r="K47" s="22" t="s">
        <v>97</v>
      </c>
      <c r="L47" s="22" t="s">
        <v>98</v>
      </c>
      <c r="M47" s="46"/>
      <c r="N47" s="21" t="s">
        <v>40</v>
      </c>
      <c r="O47" s="21" t="s">
        <v>99</v>
      </c>
      <c r="P47" s="21" t="s">
        <v>40</v>
      </c>
      <c r="Q47" s="82" t="s">
        <v>100</v>
      </c>
      <c r="R47" s="43"/>
      <c r="T47" s="13"/>
      <c r="U47" s="13"/>
      <c r="V47" s="42"/>
      <c r="W47" s="42"/>
      <c r="X47" s="13"/>
      <c r="Y47" s="42"/>
      <c r="Z47" s="43"/>
      <c r="AA47" s="13"/>
      <c r="AB47" s="42"/>
      <c r="AC47" s="42"/>
      <c r="AD47" s="44"/>
      <c r="AE47" s="44"/>
      <c r="AF47" s="8"/>
    </row>
    <row r="48" spans="1:32" ht="11.25">
      <c r="A48" t="s">
        <v>112</v>
      </c>
      <c r="B48" s="22" t="s">
        <v>137</v>
      </c>
      <c r="C48" s="33">
        <f>D48/43560</f>
        <v>13.516574839302113</v>
      </c>
      <c r="D48" s="87">
        <v>588782</v>
      </c>
      <c r="E48" s="22">
        <v>2.5</v>
      </c>
      <c r="F48" s="28">
        <f>E48/7</f>
        <v>0.35714285714285715</v>
      </c>
      <c r="G48" s="29">
        <f>F48*D48/12</f>
        <v>17523.27380952381</v>
      </c>
      <c r="H48" s="29">
        <f>G48*7.48</f>
        <v>131074.0880952381</v>
      </c>
      <c r="I48" s="22">
        <v>1</v>
      </c>
      <c r="J48" s="28">
        <f>I48/7</f>
        <v>0.14285714285714285</v>
      </c>
      <c r="K48" s="29">
        <f>J48*D48/12</f>
        <v>7009.309523809523</v>
      </c>
      <c r="L48" s="30">
        <f>K48*7.48</f>
        <v>52429.63523809524</v>
      </c>
      <c r="M48" s="54">
        <v>16</v>
      </c>
      <c r="N48" s="13">
        <f>M48*$C$158</f>
        <v>752</v>
      </c>
      <c r="O48" s="54">
        <v>16</v>
      </c>
      <c r="P48" s="13">
        <f>O48*$C$158</f>
        <v>752</v>
      </c>
      <c r="Q48" s="44">
        <f>+$C48*Summary!$A$14*27150/$N48/60</f>
        <v>13.419963682704708</v>
      </c>
      <c r="S48" s="84">
        <f>IF(Q48&gt;=24,N48,N48/2)</f>
        <v>376</v>
      </c>
      <c r="T48" s="13"/>
      <c r="U48" s="13"/>
      <c r="V48" s="42"/>
      <c r="W48" s="42"/>
      <c r="X48" s="13"/>
      <c r="Y48" s="42"/>
      <c r="Z48" s="43"/>
      <c r="AA48" s="13"/>
      <c r="AB48" s="42"/>
      <c r="AC48" s="42"/>
      <c r="AD48" s="44"/>
      <c r="AE48" s="44"/>
      <c r="AF48" s="8"/>
    </row>
    <row r="49" spans="1:31" s="31" customFormat="1" ht="11.25">
      <c r="A49" s="31" t="s">
        <v>125</v>
      </c>
      <c r="B49" s="32" t="s">
        <v>126</v>
      </c>
      <c r="C49" s="33">
        <f>D49/43560</f>
        <v>83.16905417814509</v>
      </c>
      <c r="D49" s="88">
        <v>3622844</v>
      </c>
      <c r="E49" s="32">
        <v>2.5</v>
      </c>
      <c r="F49" s="34">
        <f>E49/7</f>
        <v>0.35714285714285715</v>
      </c>
      <c r="G49" s="35">
        <f>F49*D49/12</f>
        <v>107822.7380952381</v>
      </c>
      <c r="H49" s="35">
        <f>G49*7.48</f>
        <v>806514.0809523811</v>
      </c>
      <c r="I49" s="32">
        <v>1</v>
      </c>
      <c r="J49" s="34">
        <f>I49/7</f>
        <v>0.14285714285714285</v>
      </c>
      <c r="K49" s="35">
        <f>J49*D49/12</f>
        <v>43129.09523809524</v>
      </c>
      <c r="L49" s="36">
        <f>K49*7.48</f>
        <v>322605.63238095236</v>
      </c>
      <c r="M49" s="54"/>
      <c r="N49" s="13">
        <v>850</v>
      </c>
      <c r="O49" s="54"/>
      <c r="P49" s="13">
        <v>850</v>
      </c>
      <c r="Q49" s="44">
        <f>+$C49*Summary!$A$14*27150/$N49/60</f>
        <v>73.05422950089127</v>
      </c>
      <c r="R49" s="13"/>
      <c r="S49" s="84">
        <f>IF(Q49&gt;=24,N49,N49/2)</f>
        <v>850</v>
      </c>
      <c r="T49" s="37">
        <v>1028</v>
      </c>
      <c r="U49" s="37">
        <v>0.75</v>
      </c>
      <c r="V49" s="38">
        <f>(3.14159*T49^2)*U49</f>
        <v>2489986.5349199995</v>
      </c>
      <c r="W49" s="38">
        <f>(2*3.14159*T49)*U49</f>
        <v>4844.3317799999995</v>
      </c>
      <c r="X49" s="37">
        <v>9.1</v>
      </c>
      <c r="Y49" s="38">
        <f>W49/X49</f>
        <v>532.3441516483516</v>
      </c>
      <c r="Z49" s="39">
        <f>Y49/60</f>
        <v>8.872402527472527</v>
      </c>
      <c r="AA49" s="37">
        <f>N49</f>
        <v>850</v>
      </c>
      <c r="AB49" s="38">
        <f>Y49*AA49</f>
        <v>452492.5289010989</v>
      </c>
      <c r="AC49" s="38">
        <f>AB49/7.48</f>
        <v>60493.65359640359</v>
      </c>
      <c r="AD49" s="40">
        <f>(AC49/V49)*12</f>
        <v>0.29153725651780127</v>
      </c>
      <c r="AE49" s="40">
        <f>AD49/Z49</f>
        <v>0.03285888524726923</v>
      </c>
    </row>
    <row r="50" spans="1:32" ht="11.25">
      <c r="A50" t="s">
        <v>112</v>
      </c>
      <c r="B50" s="22" t="s">
        <v>127</v>
      </c>
      <c r="C50" s="27">
        <f>D50/43560</f>
        <v>1.7704545454545455</v>
      </c>
      <c r="D50" s="87">
        <v>77121</v>
      </c>
      <c r="E50" s="22">
        <v>2.5</v>
      </c>
      <c r="F50" s="28">
        <f>E50/7</f>
        <v>0.35714285714285715</v>
      </c>
      <c r="G50" s="29">
        <f>F50*D50/12</f>
        <v>2295.2678571428573</v>
      </c>
      <c r="H50" s="29">
        <f>G50*7.48</f>
        <v>17168.603571428575</v>
      </c>
      <c r="I50" s="22">
        <v>1</v>
      </c>
      <c r="J50" s="28">
        <f>I50/7</f>
        <v>0.14285714285714285</v>
      </c>
      <c r="K50" s="29">
        <f>J50*D50/12</f>
        <v>918.1071428571428</v>
      </c>
      <c r="L50" s="30">
        <f>K50*7.48</f>
        <v>6867.441428571428</v>
      </c>
      <c r="M50" s="54" t="s">
        <v>179</v>
      </c>
      <c r="N50" s="13">
        <v>850</v>
      </c>
      <c r="O50" s="54"/>
      <c r="P50" s="13">
        <v>850</v>
      </c>
      <c r="Q50" s="44">
        <f>+$C50*Summary!$A$14*27150/$N50/60</f>
        <v>1.5551360294117649</v>
      </c>
      <c r="S50" s="84">
        <f>IF(Q50&gt;=24,N50,N50/2)</f>
        <v>425</v>
      </c>
      <c r="T50" s="13"/>
      <c r="U50" s="13"/>
      <c r="V50" s="42"/>
      <c r="W50" s="42"/>
      <c r="X50" s="13"/>
      <c r="Y50" s="42"/>
      <c r="Z50" s="43"/>
      <c r="AA50" s="13"/>
      <c r="AB50" s="42"/>
      <c r="AC50" s="42"/>
      <c r="AD50" s="44"/>
      <c r="AE50" s="44"/>
      <c r="AF50" s="8"/>
    </row>
    <row r="51" spans="1:32" ht="11.25">
      <c r="A51" t="s">
        <v>112</v>
      </c>
      <c r="B51" s="22" t="s">
        <v>129</v>
      </c>
      <c r="C51" s="27">
        <f>D51/43560</f>
        <v>5.603925619834711</v>
      </c>
      <c r="D51" s="87">
        <v>244107</v>
      </c>
      <c r="E51" s="22">
        <v>2.5</v>
      </c>
      <c r="F51" s="28">
        <f>E51/7</f>
        <v>0.35714285714285715</v>
      </c>
      <c r="G51" s="29">
        <f>F51*D51/12</f>
        <v>7265.089285714286</v>
      </c>
      <c r="H51" s="29">
        <f>G51*7.48</f>
        <v>54342.86785714286</v>
      </c>
      <c r="I51" s="22">
        <v>1</v>
      </c>
      <c r="J51" s="28">
        <f>I51/7</f>
        <v>0.14285714285714285</v>
      </c>
      <c r="K51" s="29">
        <f>J51*D51/12</f>
        <v>2906.035714285714</v>
      </c>
      <c r="L51" s="30">
        <f>K51*7.48</f>
        <v>21737.147142857142</v>
      </c>
      <c r="M51" s="54" t="s">
        <v>180</v>
      </c>
      <c r="N51" s="13">
        <v>850</v>
      </c>
      <c r="O51" s="54"/>
      <c r="P51" s="13">
        <v>850</v>
      </c>
      <c r="Q51" s="44">
        <f>+$C51*Summary!$A$14*27150/$N51/60</f>
        <v>4.922389371657754</v>
      </c>
      <c r="S51" s="84">
        <f>IF(Q51&gt;=24,N51,N51/2)</f>
        <v>425</v>
      </c>
      <c r="T51" s="13"/>
      <c r="U51" s="13"/>
      <c r="V51" s="42"/>
      <c r="W51" s="42"/>
      <c r="X51" s="13"/>
      <c r="Y51" s="42"/>
      <c r="Z51" s="43"/>
      <c r="AA51" s="13"/>
      <c r="AB51" s="42"/>
      <c r="AC51" s="42"/>
      <c r="AD51" s="44"/>
      <c r="AE51" s="44"/>
      <c r="AF51" s="8"/>
    </row>
    <row r="52" spans="2:32" ht="11.25">
      <c r="B52" s="22" t="s">
        <v>24</v>
      </c>
      <c r="C52" s="27">
        <f>SUM(C48:C51)</f>
        <v>104.06000918273645</v>
      </c>
      <c r="D52" s="87"/>
      <c r="E52" s="22"/>
      <c r="F52" s="22"/>
      <c r="G52" s="30">
        <f>SUM(G48:G51)</f>
        <v>134906.36904761905</v>
      </c>
      <c r="H52" s="30">
        <f>SUM(H48:H51)</f>
        <v>1009099.6404761906</v>
      </c>
      <c r="I52" s="30"/>
      <c r="J52" s="30"/>
      <c r="K52" s="30">
        <f>SUM(K48:K51)</f>
        <v>53962.547619047626</v>
      </c>
      <c r="L52" s="30">
        <f>SUM(L48:L51)</f>
        <v>403639.85619047616</v>
      </c>
      <c r="M52" s="54">
        <f>+C52*Summary!$A$14*27152.4/7*Summary!$A$10/12</f>
        <v>555004.8022619047</v>
      </c>
      <c r="N52" s="49">
        <f>SUM(N48:N51)</f>
        <v>3302</v>
      </c>
      <c r="O52" s="54"/>
      <c r="P52" s="21"/>
      <c r="Q52" s="44">
        <f>+$C52*Summary!$A$14*27150/$N52/60</f>
        <v>23.52931688554228</v>
      </c>
      <c r="R52" s="43" t="s">
        <v>177</v>
      </c>
      <c r="S52" s="86">
        <f>SUM(S48:S51)</f>
        <v>2076</v>
      </c>
      <c r="T52" s="13"/>
      <c r="U52" s="13"/>
      <c r="V52" s="42"/>
      <c r="W52" s="42"/>
      <c r="X52" s="13"/>
      <c r="Y52" s="42"/>
      <c r="Z52" s="43"/>
      <c r="AA52" s="13"/>
      <c r="AB52" s="42"/>
      <c r="AC52" s="42"/>
      <c r="AD52" s="44"/>
      <c r="AE52" s="44"/>
      <c r="AF52" s="8"/>
    </row>
    <row r="53" spans="2:32" ht="11.25">
      <c r="B53" s="49" t="s">
        <v>133</v>
      </c>
      <c r="C53" s="22">
        <f>137</f>
        <v>137</v>
      </c>
      <c r="N53" s="13" t="s">
        <v>174</v>
      </c>
      <c r="Q53" s="44">
        <f>+Q52*N52</f>
        <v>77693.8043560606</v>
      </c>
      <c r="R53" s="43"/>
      <c r="S53" s="84">
        <f>+S52/N52</f>
        <v>0.628709872804361</v>
      </c>
      <c r="T53" s="13"/>
      <c r="U53" s="13"/>
      <c r="V53" s="42"/>
      <c r="W53" s="42"/>
      <c r="X53" s="13"/>
      <c r="Y53" s="42"/>
      <c r="Z53" s="43"/>
      <c r="AA53" s="13"/>
      <c r="AB53" s="42"/>
      <c r="AC53" s="42"/>
      <c r="AD53" s="44"/>
      <c r="AE53" s="44"/>
      <c r="AF53" s="8"/>
    </row>
    <row r="54" spans="2:32" ht="11.25">
      <c r="B54" s="49" t="s">
        <v>134</v>
      </c>
      <c r="C54" s="89">
        <f>C52/C53</f>
        <v>0.7595621108228938</v>
      </c>
      <c r="N54" s="13" t="s">
        <v>176</v>
      </c>
      <c r="Q54" s="44">
        <f>+Q53/Summary!$A$15</f>
        <v>1942.345108901515</v>
      </c>
      <c r="T54" s="13"/>
      <c r="U54" s="13"/>
      <c r="V54" s="42"/>
      <c r="W54" s="42"/>
      <c r="X54" s="13"/>
      <c r="Y54" s="42"/>
      <c r="Z54" s="43"/>
      <c r="AA54" s="13"/>
      <c r="AB54" s="42"/>
      <c r="AC54" s="42"/>
      <c r="AD54" s="44"/>
      <c r="AE54" s="44"/>
      <c r="AF54" s="8"/>
    </row>
    <row r="55" spans="18:32" ht="11.25">
      <c r="R55" s="43"/>
      <c r="T55" s="13"/>
      <c r="U55" s="13"/>
      <c r="V55" s="42"/>
      <c r="W55" s="42"/>
      <c r="X55" s="13"/>
      <c r="Y55" s="42"/>
      <c r="Z55" s="43"/>
      <c r="AA55" s="13"/>
      <c r="AB55" s="42"/>
      <c r="AC55" s="42"/>
      <c r="AD55" s="44"/>
      <c r="AE55" s="44"/>
      <c r="AF55" s="8"/>
    </row>
    <row r="56" spans="18:32" ht="11.25">
      <c r="R56" s="43"/>
      <c r="T56" s="13"/>
      <c r="U56" s="13"/>
      <c r="V56" s="42"/>
      <c r="W56" s="42"/>
      <c r="X56" s="13"/>
      <c r="Y56" s="42"/>
      <c r="Z56" s="43"/>
      <c r="AA56" s="13"/>
      <c r="AB56" s="42"/>
      <c r="AC56" s="42"/>
      <c r="AD56" s="44"/>
      <c r="AE56" s="44"/>
      <c r="AF56" s="8"/>
    </row>
    <row r="57" spans="2:32" ht="18">
      <c r="B57" s="92" t="s">
        <v>189</v>
      </c>
      <c r="H57" s="20" t="s">
        <v>138</v>
      </c>
      <c r="R57" s="43"/>
      <c r="T57" s="13"/>
      <c r="U57" s="13"/>
      <c r="V57" s="42"/>
      <c r="W57" s="42"/>
      <c r="X57" s="13"/>
      <c r="Y57" s="42"/>
      <c r="Z57" s="43"/>
      <c r="AA57" s="13"/>
      <c r="AB57" s="42"/>
      <c r="AC57" s="42"/>
      <c r="AD57" s="44"/>
      <c r="AE57" s="44"/>
      <c r="AF57" s="8"/>
    </row>
    <row r="58" spans="17:32" ht="11.25">
      <c r="Q58" s="44" t="s">
        <v>175</v>
      </c>
      <c r="R58" s="43"/>
      <c r="T58" s="13"/>
      <c r="U58" s="13"/>
      <c r="V58" s="42"/>
      <c r="W58" s="42"/>
      <c r="X58" s="13"/>
      <c r="Y58" s="42"/>
      <c r="Z58" s="43"/>
      <c r="AA58" s="13"/>
      <c r="AB58" s="42"/>
      <c r="AC58" s="42"/>
      <c r="AD58" s="44"/>
      <c r="AE58" s="44"/>
      <c r="AF58" s="8"/>
    </row>
    <row r="59" spans="2:32" ht="11.25">
      <c r="B59" s="22" t="s">
        <v>75</v>
      </c>
      <c r="C59" s="22" t="s">
        <v>76</v>
      </c>
      <c r="D59" s="87" t="s">
        <v>76</v>
      </c>
      <c r="E59" s="23" t="s">
        <v>77</v>
      </c>
      <c r="F59" s="24"/>
      <c r="G59" s="23" t="s">
        <v>78</v>
      </c>
      <c r="H59" s="24"/>
      <c r="I59" s="23" t="s">
        <v>79</v>
      </c>
      <c r="J59" s="24"/>
      <c r="K59" s="23" t="s">
        <v>80</v>
      </c>
      <c r="L59" s="24"/>
      <c r="M59" s="84"/>
      <c r="N59" s="13" t="s">
        <v>11</v>
      </c>
      <c r="O59" s="84"/>
      <c r="P59" s="21" t="s">
        <v>11</v>
      </c>
      <c r="Q59" s="82" t="s">
        <v>81</v>
      </c>
      <c r="R59" s="43"/>
      <c r="T59" s="13"/>
      <c r="U59" s="13"/>
      <c r="V59" s="42"/>
      <c r="W59" s="42"/>
      <c r="X59" s="13"/>
      <c r="Y59" s="42"/>
      <c r="Z59" s="43"/>
      <c r="AA59" s="13"/>
      <c r="AB59" s="42"/>
      <c r="AC59" s="42"/>
      <c r="AD59" s="44"/>
      <c r="AE59" s="44"/>
      <c r="AF59" s="8"/>
    </row>
    <row r="60" spans="2:32" ht="11.25">
      <c r="B60" s="22"/>
      <c r="C60" s="22" t="s">
        <v>93</v>
      </c>
      <c r="D60" s="87" t="s">
        <v>94</v>
      </c>
      <c r="E60" s="22" t="s">
        <v>95</v>
      </c>
      <c r="F60" s="22" t="s">
        <v>96</v>
      </c>
      <c r="G60" s="22" t="s">
        <v>97</v>
      </c>
      <c r="H60" s="22" t="s">
        <v>98</v>
      </c>
      <c r="I60" s="22" t="s">
        <v>95</v>
      </c>
      <c r="J60" s="22" t="s">
        <v>96</v>
      </c>
      <c r="K60" s="22" t="s">
        <v>97</v>
      </c>
      <c r="L60" s="22" t="s">
        <v>98</v>
      </c>
      <c r="M60" s="46"/>
      <c r="N60" s="21" t="s">
        <v>40</v>
      </c>
      <c r="O60" s="21" t="s">
        <v>99</v>
      </c>
      <c r="P60" s="21" t="s">
        <v>40</v>
      </c>
      <c r="Q60" s="82" t="s">
        <v>100</v>
      </c>
      <c r="R60" s="43"/>
      <c r="T60" s="13"/>
      <c r="U60" s="13"/>
      <c r="V60" s="42"/>
      <c r="W60" s="42"/>
      <c r="X60" s="13"/>
      <c r="Y60" s="42"/>
      <c r="Z60" s="43"/>
      <c r="AA60" s="13"/>
      <c r="AB60" s="42"/>
      <c r="AC60" s="42"/>
      <c r="AD60" s="44"/>
      <c r="AE60" s="44"/>
      <c r="AF60" s="8"/>
    </row>
    <row r="61" spans="1:32" ht="11.25">
      <c r="A61" t="s">
        <v>112</v>
      </c>
      <c r="B61" s="22" t="s">
        <v>139</v>
      </c>
      <c r="C61" s="27">
        <f aca="true" t="shared" si="9" ref="C61:C67">D61/43560</f>
        <v>9.146349862258953</v>
      </c>
      <c r="D61" s="87">
        <v>398415</v>
      </c>
      <c r="E61" s="22">
        <v>2.5</v>
      </c>
      <c r="F61" s="28">
        <f aca="true" t="shared" si="10" ref="F61:F67">E61/7</f>
        <v>0.35714285714285715</v>
      </c>
      <c r="G61" s="29">
        <f aca="true" t="shared" si="11" ref="G61:G67">F61*D61/12</f>
        <v>11857.589285714284</v>
      </c>
      <c r="H61" s="29">
        <f aca="true" t="shared" si="12" ref="H61:H67">G61*7.48</f>
        <v>88694.76785714286</v>
      </c>
      <c r="I61" s="22">
        <v>1</v>
      </c>
      <c r="J61" s="28">
        <f aca="true" t="shared" si="13" ref="J61:J67">I61/7</f>
        <v>0.14285714285714285</v>
      </c>
      <c r="K61" s="29">
        <f aca="true" t="shared" si="14" ref="K61:K67">J61*D61/12</f>
        <v>4743.035714285714</v>
      </c>
      <c r="L61" s="30">
        <f aca="true" t="shared" si="15" ref="L61:L67">K61*7.48</f>
        <v>35477.90714285714</v>
      </c>
      <c r="M61" s="54">
        <v>13</v>
      </c>
      <c r="N61" s="13">
        <f>M61*$C$158</f>
        <v>611</v>
      </c>
      <c r="O61" s="54">
        <v>13</v>
      </c>
      <c r="P61" s="13">
        <f>O61*$C$158</f>
        <v>611</v>
      </c>
      <c r="Q61" s="44">
        <f>+$C61*Summary!$A$14*27150/$N61/60</f>
        <v>11.17658505058771</v>
      </c>
      <c r="S61" s="84">
        <f aca="true" t="shared" si="16" ref="S61:S67">IF(Q61&gt;=24,N61,N61/2)</f>
        <v>305.5</v>
      </c>
      <c r="T61" s="13"/>
      <c r="U61" s="13"/>
      <c r="V61" s="42"/>
      <c r="W61" s="42"/>
      <c r="X61" s="13"/>
      <c r="Y61" s="42"/>
      <c r="Z61" s="43"/>
      <c r="AA61" s="13"/>
      <c r="AB61" s="42"/>
      <c r="AC61" s="42"/>
      <c r="AD61" s="44"/>
      <c r="AE61" s="44"/>
      <c r="AF61" s="8"/>
    </row>
    <row r="62" spans="2:32" ht="11.25">
      <c r="B62" s="22" t="s">
        <v>140</v>
      </c>
      <c r="C62" s="27">
        <f t="shared" si="9"/>
        <v>10.408585858585859</v>
      </c>
      <c r="D62" s="87">
        <v>453398</v>
      </c>
      <c r="E62" s="22">
        <v>2.5</v>
      </c>
      <c r="F62" s="28">
        <f t="shared" si="10"/>
        <v>0.35714285714285715</v>
      </c>
      <c r="G62" s="29">
        <f t="shared" si="11"/>
        <v>13493.988095238097</v>
      </c>
      <c r="H62" s="29">
        <f t="shared" si="12"/>
        <v>100935.03095238097</v>
      </c>
      <c r="I62" s="22">
        <v>1</v>
      </c>
      <c r="J62" s="28">
        <f t="shared" si="13"/>
        <v>0.14285714285714285</v>
      </c>
      <c r="K62" s="29">
        <f t="shared" si="14"/>
        <v>5397.595238095238</v>
      </c>
      <c r="L62" s="30">
        <f t="shared" si="15"/>
        <v>40374.01238095238</v>
      </c>
      <c r="M62" s="54">
        <v>16</v>
      </c>
      <c r="N62" s="13">
        <f>M62*$C$158</f>
        <v>752</v>
      </c>
      <c r="O62" s="54">
        <v>16</v>
      </c>
      <c r="P62" s="13">
        <f>O62*$C$158</f>
        <v>752</v>
      </c>
      <c r="Q62" s="44">
        <f>+$C62*Summary!$A$14*27150/$N62/60</f>
        <v>10.334189383865246</v>
      </c>
      <c r="S62" s="84">
        <f t="shared" si="16"/>
        <v>376</v>
      </c>
      <c r="T62" s="13"/>
      <c r="U62" s="13"/>
      <c r="V62" s="42"/>
      <c r="W62" s="42"/>
      <c r="X62" s="13"/>
      <c r="Y62" s="42"/>
      <c r="Z62" s="43"/>
      <c r="AA62" s="13"/>
      <c r="AB62" s="42"/>
      <c r="AC62" s="42"/>
      <c r="AD62" s="44"/>
      <c r="AE62" s="44"/>
      <c r="AF62" s="8"/>
    </row>
    <row r="63" spans="2:32" ht="11.25">
      <c r="B63" s="22" t="s">
        <v>141</v>
      </c>
      <c r="C63" s="27">
        <f t="shared" si="9"/>
        <v>12.493595041322314</v>
      </c>
      <c r="D63" s="87">
        <v>544221</v>
      </c>
      <c r="E63" s="22">
        <v>2.5</v>
      </c>
      <c r="F63" s="28">
        <f t="shared" si="10"/>
        <v>0.35714285714285715</v>
      </c>
      <c r="G63" s="29">
        <f t="shared" si="11"/>
        <v>16197.053571428572</v>
      </c>
      <c r="H63" s="29">
        <f t="shared" si="12"/>
        <v>121153.96071428573</v>
      </c>
      <c r="I63" s="22">
        <v>1</v>
      </c>
      <c r="J63" s="28">
        <f t="shared" si="13"/>
        <v>0.14285714285714285</v>
      </c>
      <c r="K63" s="29">
        <f t="shared" si="14"/>
        <v>6478.821428571428</v>
      </c>
      <c r="L63" s="30">
        <f t="shared" si="15"/>
        <v>48461.584285714285</v>
      </c>
      <c r="M63" s="54">
        <v>18</v>
      </c>
      <c r="N63" s="13">
        <f>M63*$C$158</f>
        <v>846</v>
      </c>
      <c r="O63" s="54">
        <v>18</v>
      </c>
      <c r="P63" s="13">
        <f>O63*$C$158</f>
        <v>846</v>
      </c>
      <c r="Q63" s="44">
        <f>+$C63*Summary!$A$14*27150/$N63/60</f>
        <v>11.026040659252095</v>
      </c>
      <c r="S63" s="84">
        <f t="shared" si="16"/>
        <v>423</v>
      </c>
      <c r="T63" s="13"/>
      <c r="U63" s="13"/>
      <c r="V63" s="42"/>
      <c r="W63" s="42"/>
      <c r="X63" s="13"/>
      <c r="Y63" s="42"/>
      <c r="Z63" s="43"/>
      <c r="AA63" s="13"/>
      <c r="AB63" s="42"/>
      <c r="AC63" s="42"/>
      <c r="AD63" s="44"/>
      <c r="AE63" s="44"/>
      <c r="AF63" s="8"/>
    </row>
    <row r="64" spans="1:32" ht="11.25">
      <c r="A64" t="s">
        <v>112</v>
      </c>
      <c r="B64" s="22" t="s">
        <v>126</v>
      </c>
      <c r="C64" s="27">
        <f t="shared" si="9"/>
        <v>42.45103305785124</v>
      </c>
      <c r="D64" s="87">
        <v>1849167</v>
      </c>
      <c r="E64" s="22">
        <v>2.5</v>
      </c>
      <c r="F64" s="28">
        <f t="shared" si="10"/>
        <v>0.35714285714285715</v>
      </c>
      <c r="G64" s="29">
        <f t="shared" si="11"/>
        <v>55034.73214285714</v>
      </c>
      <c r="H64" s="29">
        <f t="shared" si="12"/>
        <v>411659.7964285714</v>
      </c>
      <c r="I64" s="22">
        <v>1</v>
      </c>
      <c r="J64" s="28">
        <f t="shared" si="13"/>
        <v>0.14285714285714285</v>
      </c>
      <c r="K64" s="29">
        <f t="shared" si="14"/>
        <v>22013.892857142855</v>
      </c>
      <c r="L64" s="30">
        <f t="shared" si="15"/>
        <v>164663.91857142857</v>
      </c>
      <c r="M64" s="54"/>
      <c r="N64" s="13">
        <v>1200</v>
      </c>
      <c r="O64" s="54"/>
      <c r="P64" s="13">
        <v>1200</v>
      </c>
      <c r="Q64" s="44">
        <f>+$C64*Summary!$A$14*27150/$N64/60</f>
        <v>26.412502130681823</v>
      </c>
      <c r="S64" s="84">
        <f t="shared" si="16"/>
        <v>1200</v>
      </c>
      <c r="T64" s="13"/>
      <c r="U64" s="13"/>
      <c r="V64" s="42"/>
      <c r="W64" s="42"/>
      <c r="X64" s="13"/>
      <c r="Y64" s="42"/>
      <c r="Z64" s="43"/>
      <c r="AA64" s="13"/>
      <c r="AB64" s="42"/>
      <c r="AC64" s="42"/>
      <c r="AD64" s="44"/>
      <c r="AE64" s="44"/>
      <c r="AF64" s="8"/>
    </row>
    <row r="65" spans="1:32" ht="11.25">
      <c r="A65" t="s">
        <v>112</v>
      </c>
      <c r="B65" s="22" t="s">
        <v>127</v>
      </c>
      <c r="C65" s="27">
        <f t="shared" si="9"/>
        <v>3.3400367309458217</v>
      </c>
      <c r="D65" s="87">
        <v>145492</v>
      </c>
      <c r="E65" s="22">
        <v>2.5</v>
      </c>
      <c r="F65" s="28">
        <f t="shared" si="10"/>
        <v>0.35714285714285715</v>
      </c>
      <c r="G65" s="29">
        <f t="shared" si="11"/>
        <v>4330.119047619048</v>
      </c>
      <c r="H65" s="29">
        <f t="shared" si="12"/>
        <v>32389.29047619048</v>
      </c>
      <c r="I65" s="22">
        <v>1</v>
      </c>
      <c r="J65" s="28">
        <f t="shared" si="13"/>
        <v>0.14285714285714285</v>
      </c>
      <c r="K65" s="29">
        <f t="shared" si="14"/>
        <v>1732.047619047619</v>
      </c>
      <c r="L65" s="30">
        <f t="shared" si="15"/>
        <v>12955.71619047619</v>
      </c>
      <c r="M65" s="54"/>
      <c r="N65" s="13">
        <v>850</v>
      </c>
      <c r="O65" s="54"/>
      <c r="P65" s="13">
        <v>850</v>
      </c>
      <c r="Q65" s="44">
        <f>+$C65*Summary!$A$14*27150/$N65/60</f>
        <v>2.9338293226381458</v>
      </c>
      <c r="S65" s="84">
        <f t="shared" si="16"/>
        <v>425</v>
      </c>
      <c r="T65" s="13"/>
      <c r="U65" s="13"/>
      <c r="V65" s="42"/>
      <c r="W65" s="42"/>
      <c r="X65" s="13"/>
      <c r="Y65" s="42"/>
      <c r="Z65" s="43"/>
      <c r="AA65" s="13"/>
      <c r="AB65" s="42"/>
      <c r="AC65" s="42"/>
      <c r="AD65" s="44"/>
      <c r="AE65" s="44"/>
      <c r="AF65" s="8"/>
    </row>
    <row r="66" spans="1:32" ht="11.25">
      <c r="A66" t="s">
        <v>112</v>
      </c>
      <c r="B66" s="22" t="s">
        <v>129</v>
      </c>
      <c r="C66" s="27">
        <f t="shared" si="9"/>
        <v>5.475390266299357</v>
      </c>
      <c r="D66" s="87">
        <v>238508</v>
      </c>
      <c r="E66" s="22">
        <v>2.5</v>
      </c>
      <c r="F66" s="28">
        <f t="shared" si="10"/>
        <v>0.35714285714285715</v>
      </c>
      <c r="G66" s="29">
        <f t="shared" si="11"/>
        <v>7098.452380952382</v>
      </c>
      <c r="H66" s="29">
        <f t="shared" si="12"/>
        <v>53096.42380952382</v>
      </c>
      <c r="I66" s="22">
        <v>1</v>
      </c>
      <c r="J66" s="28">
        <f t="shared" si="13"/>
        <v>0.14285714285714285</v>
      </c>
      <c r="K66" s="29">
        <f t="shared" si="14"/>
        <v>2839.3809523809523</v>
      </c>
      <c r="L66" s="30">
        <f t="shared" si="15"/>
        <v>21238.569523809525</v>
      </c>
      <c r="M66" s="54" t="s">
        <v>179</v>
      </c>
      <c r="N66" s="13">
        <v>850</v>
      </c>
      <c r="O66" s="54"/>
      <c r="P66" s="13">
        <v>850</v>
      </c>
      <c r="Q66" s="44">
        <f>+$C66*Summary!$A$14*27150/$N66/60</f>
        <v>4.809486185383244</v>
      </c>
      <c r="S66" s="84">
        <f t="shared" si="16"/>
        <v>425</v>
      </c>
      <c r="T66" s="13"/>
      <c r="U66" s="13"/>
      <c r="V66" s="42"/>
      <c r="W66" s="42"/>
      <c r="X66" s="13"/>
      <c r="Y66" s="42"/>
      <c r="Z66" s="43"/>
      <c r="AA66" s="13"/>
      <c r="AB66" s="42"/>
      <c r="AC66" s="42"/>
      <c r="AD66" s="44"/>
      <c r="AE66" s="44"/>
      <c r="AF66" s="8"/>
    </row>
    <row r="67" spans="1:32" ht="11.25">
      <c r="A67" t="s">
        <v>112</v>
      </c>
      <c r="B67" s="22" t="s">
        <v>130</v>
      </c>
      <c r="C67" s="27">
        <f t="shared" si="9"/>
        <v>4.1807621671258035</v>
      </c>
      <c r="D67" s="87">
        <v>182114</v>
      </c>
      <c r="E67" s="22">
        <v>2.5</v>
      </c>
      <c r="F67" s="28">
        <f t="shared" si="10"/>
        <v>0.35714285714285715</v>
      </c>
      <c r="G67" s="29">
        <f t="shared" si="11"/>
        <v>5420.059523809524</v>
      </c>
      <c r="H67" s="29">
        <f t="shared" si="12"/>
        <v>40542.04523809524</v>
      </c>
      <c r="I67" s="22">
        <v>1</v>
      </c>
      <c r="J67" s="28">
        <f t="shared" si="13"/>
        <v>0.14285714285714285</v>
      </c>
      <c r="K67" s="29">
        <f t="shared" si="14"/>
        <v>2168.0238095238096</v>
      </c>
      <c r="L67" s="30">
        <f t="shared" si="15"/>
        <v>16216.818095238097</v>
      </c>
      <c r="M67" s="54" t="s">
        <v>180</v>
      </c>
      <c r="N67" s="13">
        <v>850</v>
      </c>
      <c r="O67" s="54"/>
      <c r="P67" s="13">
        <v>850</v>
      </c>
      <c r="Q67" s="44">
        <f>+$C67*Summary!$A$14*27150/$N67/60</f>
        <v>3.6723077094474155</v>
      </c>
      <c r="S67" s="84">
        <f t="shared" si="16"/>
        <v>425</v>
      </c>
      <c r="T67" s="13"/>
      <c r="U67" s="13"/>
      <c r="V67" s="42"/>
      <c r="W67" s="42"/>
      <c r="X67" s="13"/>
      <c r="Y67" s="42"/>
      <c r="Z67" s="43"/>
      <c r="AA67" s="13"/>
      <c r="AB67" s="42"/>
      <c r="AC67" s="42"/>
      <c r="AD67" s="44"/>
      <c r="AE67" s="44"/>
      <c r="AF67" s="8"/>
    </row>
    <row r="68" spans="2:32" ht="11.25">
      <c r="B68" s="22" t="s">
        <v>24</v>
      </c>
      <c r="C68" s="27">
        <f>SUM(C61:C67)</f>
        <v>87.49575298438936</v>
      </c>
      <c r="D68" s="87"/>
      <c r="E68" s="22"/>
      <c r="F68" s="22"/>
      <c r="G68" s="30">
        <f>SUM(G61:G67)</f>
        <v>113431.99404761905</v>
      </c>
      <c r="H68" s="30">
        <f>SUM(H61:H67)</f>
        <v>848471.3154761904</v>
      </c>
      <c r="I68" s="30"/>
      <c r="J68" s="30"/>
      <c r="K68" s="30">
        <f>SUM(K61:K67)</f>
        <v>45372.79761904762</v>
      </c>
      <c r="L68" s="30">
        <f>SUM(L61:L67)</f>
        <v>339388.52619047626</v>
      </c>
      <c r="M68" s="54">
        <f>+C68*Summary!$A$14*27152.4/7*Summary!$A$10/12</f>
        <v>466659.22351190477</v>
      </c>
      <c r="N68" s="49">
        <f>SUM(N61:N67)</f>
        <v>5959</v>
      </c>
      <c r="O68" s="54"/>
      <c r="P68" s="21"/>
      <c r="Q68" s="44">
        <f>+$C68*Summary!$A$14*27150/$N68/60</f>
        <v>10.962664301387766</v>
      </c>
      <c r="R68" s="43" t="s">
        <v>177</v>
      </c>
      <c r="S68" s="86">
        <f>SUM(S61:S67)</f>
        <v>3579.5</v>
      </c>
      <c r="T68" s="13"/>
      <c r="U68" s="13"/>
      <c r="V68" s="42"/>
      <c r="W68" s="42"/>
      <c r="X68" s="13"/>
      <c r="Y68" s="42"/>
      <c r="Z68" s="43"/>
      <c r="AA68" s="13"/>
      <c r="AB68" s="42"/>
      <c r="AC68" s="42"/>
      <c r="AD68" s="44"/>
      <c r="AE68" s="44"/>
      <c r="AF68" s="8"/>
    </row>
    <row r="69" spans="2:32" ht="11.25">
      <c r="B69" s="49" t="s">
        <v>133</v>
      </c>
      <c r="C69" s="22">
        <v>118.9</v>
      </c>
      <c r="N69" s="13" t="s">
        <v>174</v>
      </c>
      <c r="Q69" s="44">
        <f>+Q68*N68</f>
        <v>65326.5165719697</v>
      </c>
      <c r="R69" s="43"/>
      <c r="S69" s="84">
        <f>+S68/N68</f>
        <v>0.6006880349051854</v>
      </c>
      <c r="T69" s="13"/>
      <c r="U69" s="13"/>
      <c r="V69" s="42"/>
      <c r="W69" s="42"/>
      <c r="X69" s="13"/>
      <c r="Y69" s="42"/>
      <c r="Z69" s="43"/>
      <c r="AA69" s="13"/>
      <c r="AB69" s="42"/>
      <c r="AC69" s="42"/>
      <c r="AD69" s="44"/>
      <c r="AE69" s="44"/>
      <c r="AF69" s="8"/>
    </row>
    <row r="70" spans="2:32" ht="11.25">
      <c r="B70" s="49" t="s">
        <v>134</v>
      </c>
      <c r="C70" s="89">
        <f>C68/C69</f>
        <v>0.7358768123161425</v>
      </c>
      <c r="N70" s="13" t="s">
        <v>176</v>
      </c>
      <c r="Q70" s="44">
        <f>+Q69/Summary!$A$15</f>
        <v>1633.1629142992426</v>
      </c>
      <c r="T70" s="13"/>
      <c r="U70" s="13"/>
      <c r="V70" s="42"/>
      <c r="W70" s="42"/>
      <c r="X70" s="13"/>
      <c r="Y70" s="42"/>
      <c r="Z70" s="43"/>
      <c r="AA70" s="13"/>
      <c r="AB70" s="42"/>
      <c r="AC70" s="42"/>
      <c r="AD70" s="44"/>
      <c r="AE70" s="44"/>
      <c r="AF70" s="8"/>
    </row>
    <row r="71" spans="18:32" ht="11.25">
      <c r="R71" s="43"/>
      <c r="T71" s="13"/>
      <c r="U71" s="13"/>
      <c r="V71" s="42"/>
      <c r="W71" s="42"/>
      <c r="X71" s="13"/>
      <c r="Y71" s="42"/>
      <c r="Z71" s="43"/>
      <c r="AA71" s="13"/>
      <c r="AB71" s="42"/>
      <c r="AC71" s="42"/>
      <c r="AD71" s="44"/>
      <c r="AE71" s="44"/>
      <c r="AF71" s="8"/>
    </row>
    <row r="72" spans="18:32" ht="11.25">
      <c r="R72" s="43"/>
      <c r="T72" s="13"/>
      <c r="U72" s="13"/>
      <c r="V72" s="42"/>
      <c r="W72" s="42"/>
      <c r="X72" s="13"/>
      <c r="Y72" s="42"/>
      <c r="Z72" s="43"/>
      <c r="AA72" s="13"/>
      <c r="AB72" s="42"/>
      <c r="AC72" s="42"/>
      <c r="AD72" s="44"/>
      <c r="AE72" s="44"/>
      <c r="AF72" s="8"/>
    </row>
    <row r="73" spans="2:32" ht="18">
      <c r="B73" s="92" t="s">
        <v>190</v>
      </c>
      <c r="H73" s="20" t="s">
        <v>142</v>
      </c>
      <c r="R73" s="43"/>
      <c r="T73" s="13"/>
      <c r="U73" s="13"/>
      <c r="V73" s="42"/>
      <c r="W73" s="42"/>
      <c r="X73" s="13"/>
      <c r="Y73" s="42"/>
      <c r="Z73" s="43"/>
      <c r="AA73" s="13"/>
      <c r="AB73" s="42"/>
      <c r="AC73" s="42"/>
      <c r="AD73" s="44"/>
      <c r="AE73" s="44"/>
      <c r="AF73" s="8"/>
    </row>
    <row r="74" spans="17:32" ht="11.25">
      <c r="Q74" s="44" t="s">
        <v>175</v>
      </c>
      <c r="R74" s="43"/>
      <c r="T74" s="13"/>
      <c r="U74" s="13"/>
      <c r="V74" s="42"/>
      <c r="W74" s="42"/>
      <c r="X74" s="13"/>
      <c r="Y74" s="42"/>
      <c r="Z74" s="43"/>
      <c r="AA74" s="13"/>
      <c r="AB74" s="42"/>
      <c r="AC74" s="42"/>
      <c r="AD74" s="44"/>
      <c r="AE74" s="44"/>
      <c r="AF74" s="8"/>
    </row>
    <row r="75" spans="2:32" ht="11.25">
      <c r="B75" s="22" t="s">
        <v>75</v>
      </c>
      <c r="C75" s="22" t="s">
        <v>76</v>
      </c>
      <c r="D75" s="87" t="s">
        <v>76</v>
      </c>
      <c r="E75" s="23" t="s">
        <v>77</v>
      </c>
      <c r="F75" s="24"/>
      <c r="G75" s="23" t="s">
        <v>78</v>
      </c>
      <c r="H75" s="24"/>
      <c r="I75" s="23" t="s">
        <v>79</v>
      </c>
      <c r="J75" s="24"/>
      <c r="K75" s="23" t="s">
        <v>80</v>
      </c>
      <c r="L75" s="24"/>
      <c r="M75" s="84"/>
      <c r="N75" s="13" t="s">
        <v>11</v>
      </c>
      <c r="O75" s="84"/>
      <c r="P75" s="21" t="s">
        <v>11</v>
      </c>
      <c r="Q75" s="82" t="s">
        <v>81</v>
      </c>
      <c r="R75" s="43"/>
      <c r="T75" s="13"/>
      <c r="U75" s="13"/>
      <c r="V75" s="42"/>
      <c r="W75" s="42"/>
      <c r="X75" s="13"/>
      <c r="Y75" s="42"/>
      <c r="Z75" s="43"/>
      <c r="AA75" s="13"/>
      <c r="AB75" s="42"/>
      <c r="AC75" s="42"/>
      <c r="AD75" s="44"/>
      <c r="AE75" s="44"/>
      <c r="AF75" s="8"/>
    </row>
    <row r="76" spans="2:32" ht="11.25">
      <c r="B76" s="22"/>
      <c r="C76" s="22" t="s">
        <v>93</v>
      </c>
      <c r="D76" s="87" t="s">
        <v>94</v>
      </c>
      <c r="E76" s="22" t="s">
        <v>95</v>
      </c>
      <c r="F76" s="22" t="s">
        <v>96</v>
      </c>
      <c r="G76" s="22" t="s">
        <v>97</v>
      </c>
      <c r="H76" s="22" t="s">
        <v>98</v>
      </c>
      <c r="I76" s="22" t="s">
        <v>95</v>
      </c>
      <c r="J76" s="22" t="s">
        <v>96</v>
      </c>
      <c r="K76" s="22" t="s">
        <v>97</v>
      </c>
      <c r="L76" s="22" t="s">
        <v>98</v>
      </c>
      <c r="M76" s="46"/>
      <c r="N76" s="21" t="s">
        <v>40</v>
      </c>
      <c r="O76" s="21" t="s">
        <v>99</v>
      </c>
      <c r="P76" s="21" t="s">
        <v>40</v>
      </c>
      <c r="Q76" s="82" t="s">
        <v>100</v>
      </c>
      <c r="R76" s="43"/>
      <c r="T76" s="13"/>
      <c r="U76" s="13"/>
      <c r="V76" s="42"/>
      <c r="W76" s="42"/>
      <c r="X76" s="13"/>
      <c r="Y76" s="42"/>
      <c r="Z76" s="43"/>
      <c r="AA76" s="13"/>
      <c r="AB76" s="42"/>
      <c r="AC76" s="42"/>
      <c r="AD76" s="44"/>
      <c r="AE76" s="44"/>
      <c r="AF76" s="8"/>
    </row>
    <row r="77" spans="1:32" ht="11.25">
      <c r="A77" t="s">
        <v>112</v>
      </c>
      <c r="B77" s="22" t="s">
        <v>143</v>
      </c>
      <c r="C77" s="27">
        <f aca="true" t="shared" si="17" ref="C77:C83">D77/43560</f>
        <v>12.141689623507805</v>
      </c>
      <c r="D77" s="87">
        <v>528892</v>
      </c>
      <c r="E77" s="22">
        <v>2.5</v>
      </c>
      <c r="F77" s="28">
        <f aca="true" t="shared" si="18" ref="F77:F83">E77/7</f>
        <v>0.35714285714285715</v>
      </c>
      <c r="G77" s="29">
        <f aca="true" t="shared" si="19" ref="G77:G83">F77*D77/12</f>
        <v>15740.833333333334</v>
      </c>
      <c r="H77" s="29">
        <f aca="true" t="shared" si="20" ref="H77:H83">G77*7.48</f>
        <v>117741.43333333335</v>
      </c>
      <c r="I77" s="22">
        <v>1</v>
      </c>
      <c r="J77" s="28">
        <f aca="true" t="shared" si="21" ref="J77:J83">I77/7</f>
        <v>0.14285714285714285</v>
      </c>
      <c r="K77" s="29">
        <f aca="true" t="shared" si="22" ref="K77:K83">J77*D77/12</f>
        <v>6296.333333333333</v>
      </c>
      <c r="L77" s="30">
        <f aca="true" t="shared" si="23" ref="L77:L83">K77*7.48</f>
        <v>47096.573333333334</v>
      </c>
      <c r="M77" s="54">
        <v>15</v>
      </c>
      <c r="N77" s="13">
        <f>M77*$C$158</f>
        <v>705</v>
      </c>
      <c r="O77" s="54">
        <v>15</v>
      </c>
      <c r="P77" s="13">
        <f>O77*$C$158</f>
        <v>705</v>
      </c>
      <c r="Q77" s="44">
        <f>+$C77*Summary!$A$14*27150/$N77/60</f>
        <v>12.858565978938318</v>
      </c>
      <c r="S77" s="84">
        <f aca="true" t="shared" si="24" ref="S77:S83">IF(Q77&gt;=24,N77,N77/2)</f>
        <v>352.5</v>
      </c>
      <c r="T77" s="13"/>
      <c r="U77" s="13"/>
      <c r="V77" s="42"/>
      <c r="W77" s="42"/>
      <c r="X77" s="13"/>
      <c r="Y77" s="42"/>
      <c r="Z77" s="43"/>
      <c r="AA77" s="13"/>
      <c r="AB77" s="42"/>
      <c r="AC77" s="42"/>
      <c r="AD77" s="44"/>
      <c r="AE77" s="44"/>
      <c r="AF77" s="8"/>
    </row>
    <row r="78" spans="2:32" ht="11.25">
      <c r="B78" s="22" t="s">
        <v>144</v>
      </c>
      <c r="C78" s="27">
        <f t="shared" si="17"/>
        <v>12.565932047750229</v>
      </c>
      <c r="D78" s="87">
        <v>547372</v>
      </c>
      <c r="E78" s="22">
        <v>2.5</v>
      </c>
      <c r="F78" s="28">
        <f t="shared" si="18"/>
        <v>0.35714285714285715</v>
      </c>
      <c r="G78" s="29">
        <f t="shared" si="19"/>
        <v>16290.833333333334</v>
      </c>
      <c r="H78" s="29">
        <f t="shared" si="20"/>
        <v>121855.43333333335</v>
      </c>
      <c r="I78" s="22">
        <v>1</v>
      </c>
      <c r="J78" s="28">
        <f t="shared" si="21"/>
        <v>0.14285714285714285</v>
      </c>
      <c r="K78" s="29">
        <f t="shared" si="22"/>
        <v>6516.333333333333</v>
      </c>
      <c r="L78" s="30">
        <f t="shared" si="23"/>
        <v>48742.17333333333</v>
      </c>
      <c r="M78" s="54">
        <v>18</v>
      </c>
      <c r="N78" s="13">
        <f>M78*$C$158</f>
        <v>846</v>
      </c>
      <c r="O78" s="54">
        <v>18</v>
      </c>
      <c r="P78" s="13">
        <f>O78*$C$158</f>
        <v>846</v>
      </c>
      <c r="Q78" s="44">
        <f>+$C78*Summary!$A$14*27150/$N78/60</f>
        <v>11.089880632566802</v>
      </c>
      <c r="S78" s="84">
        <f t="shared" si="24"/>
        <v>423</v>
      </c>
      <c r="T78" s="13"/>
      <c r="U78" s="13"/>
      <c r="V78" s="42"/>
      <c r="W78" s="42"/>
      <c r="X78" s="13"/>
      <c r="Y78" s="42"/>
      <c r="Z78" s="43"/>
      <c r="AA78" s="13"/>
      <c r="AB78" s="42"/>
      <c r="AC78" s="42"/>
      <c r="AD78" s="44"/>
      <c r="AE78" s="44"/>
      <c r="AF78" s="8"/>
    </row>
    <row r="79" spans="2:32" ht="11.25">
      <c r="B79" s="22" t="s">
        <v>145</v>
      </c>
      <c r="C79" s="27">
        <f t="shared" si="17"/>
        <v>13.478696051423324</v>
      </c>
      <c r="D79" s="87">
        <v>587132</v>
      </c>
      <c r="E79" s="22">
        <v>2.5</v>
      </c>
      <c r="F79" s="28">
        <f t="shared" si="18"/>
        <v>0.35714285714285715</v>
      </c>
      <c r="G79" s="29">
        <f t="shared" si="19"/>
        <v>17474.166666666668</v>
      </c>
      <c r="H79" s="29">
        <f t="shared" si="20"/>
        <v>130706.76666666668</v>
      </c>
      <c r="I79" s="22">
        <v>1</v>
      </c>
      <c r="J79" s="28">
        <f t="shared" si="21"/>
        <v>0.14285714285714285</v>
      </c>
      <c r="K79" s="29">
        <f t="shared" si="22"/>
        <v>6989.666666666667</v>
      </c>
      <c r="L79" s="30">
        <f t="shared" si="23"/>
        <v>52282.70666666667</v>
      </c>
      <c r="M79" s="54">
        <v>19</v>
      </c>
      <c r="N79" s="13">
        <f>M79*$C$158</f>
        <v>893</v>
      </c>
      <c r="O79" s="54">
        <v>19</v>
      </c>
      <c r="P79" s="13">
        <f>O79*$C$158</f>
        <v>893</v>
      </c>
      <c r="Q79" s="44">
        <f>+$C79*Summary!$A$14*27150/$N79/60</f>
        <v>11.269352115782686</v>
      </c>
      <c r="S79" s="84">
        <f t="shared" si="24"/>
        <v>446.5</v>
      </c>
      <c r="T79" s="13"/>
      <c r="U79" s="13"/>
      <c r="V79" s="42"/>
      <c r="W79" s="42"/>
      <c r="X79" s="13"/>
      <c r="Y79" s="42"/>
      <c r="Z79" s="43"/>
      <c r="AA79" s="13"/>
      <c r="AB79" s="42"/>
      <c r="AC79" s="42"/>
      <c r="AD79" s="44"/>
      <c r="AE79" s="44"/>
      <c r="AF79" s="8"/>
    </row>
    <row r="80" spans="1:32" ht="11.25">
      <c r="A80" t="s">
        <v>112</v>
      </c>
      <c r="B80" s="22" t="s">
        <v>126</v>
      </c>
      <c r="C80" s="27">
        <f t="shared" si="17"/>
        <v>5.109618916437098</v>
      </c>
      <c r="D80" s="87">
        <v>222575</v>
      </c>
      <c r="E80" s="22">
        <v>2.5</v>
      </c>
      <c r="F80" s="28">
        <f t="shared" si="18"/>
        <v>0.35714285714285715</v>
      </c>
      <c r="G80" s="29">
        <f t="shared" si="19"/>
        <v>6624.255952380953</v>
      </c>
      <c r="H80" s="29">
        <f t="shared" si="20"/>
        <v>49549.434523809534</v>
      </c>
      <c r="I80" s="22">
        <v>1</v>
      </c>
      <c r="J80" s="28">
        <f t="shared" si="21"/>
        <v>0.14285714285714285</v>
      </c>
      <c r="K80" s="29">
        <f t="shared" si="22"/>
        <v>2649.7023809523807</v>
      </c>
      <c r="L80" s="30">
        <f t="shared" si="23"/>
        <v>19819.77380952381</v>
      </c>
      <c r="M80" s="54"/>
      <c r="N80" s="13">
        <v>850</v>
      </c>
      <c r="O80" s="54"/>
      <c r="P80" s="13">
        <v>850</v>
      </c>
      <c r="Q80" s="44">
        <f>+$C80*Summary!$A$14*27150/$N80/60</f>
        <v>4.488199086452763</v>
      </c>
      <c r="S80" s="84">
        <f t="shared" si="24"/>
        <v>425</v>
      </c>
      <c r="T80" s="13"/>
      <c r="U80" s="13"/>
      <c r="V80" s="42"/>
      <c r="W80" s="42"/>
      <c r="X80" s="13"/>
      <c r="Y80" s="42"/>
      <c r="Z80" s="43"/>
      <c r="AA80" s="13"/>
      <c r="AB80" s="42"/>
      <c r="AC80" s="42"/>
      <c r="AD80" s="44"/>
      <c r="AE80" s="44"/>
      <c r="AF80" s="8"/>
    </row>
    <row r="81" spans="1:32" ht="11.25">
      <c r="A81" t="s">
        <v>112</v>
      </c>
      <c r="B81" s="22" t="s">
        <v>127</v>
      </c>
      <c r="C81" s="27">
        <f t="shared" si="17"/>
        <v>17.10103305785124</v>
      </c>
      <c r="D81" s="87">
        <v>744921</v>
      </c>
      <c r="E81" s="22">
        <v>2.5</v>
      </c>
      <c r="F81" s="28">
        <f t="shared" si="18"/>
        <v>0.35714285714285715</v>
      </c>
      <c r="G81" s="29">
        <f t="shared" si="19"/>
        <v>22170.26785714286</v>
      </c>
      <c r="H81" s="29">
        <f t="shared" si="20"/>
        <v>165833.6035714286</v>
      </c>
      <c r="I81" s="22">
        <v>1</v>
      </c>
      <c r="J81" s="28">
        <f t="shared" si="21"/>
        <v>0.14285714285714285</v>
      </c>
      <c r="K81" s="29">
        <f t="shared" si="22"/>
        <v>8868.107142857143</v>
      </c>
      <c r="L81" s="30">
        <f t="shared" si="23"/>
        <v>66333.44142857143</v>
      </c>
      <c r="M81" s="54"/>
      <c r="N81" s="13">
        <v>1200</v>
      </c>
      <c r="O81" s="54"/>
      <c r="P81" s="13">
        <v>1200</v>
      </c>
      <c r="Q81" s="44">
        <f>+$C81*Summary!$A$14*27150/$N81/60</f>
        <v>10.640049005681817</v>
      </c>
      <c r="S81" s="84">
        <f t="shared" si="24"/>
        <v>600</v>
      </c>
      <c r="T81" s="13"/>
      <c r="U81" s="13"/>
      <c r="V81" s="42"/>
      <c r="W81" s="42"/>
      <c r="X81" s="13"/>
      <c r="Y81" s="42"/>
      <c r="Z81" s="43"/>
      <c r="AA81" s="13"/>
      <c r="AB81" s="42"/>
      <c r="AC81" s="42"/>
      <c r="AD81" s="44"/>
      <c r="AE81" s="44"/>
      <c r="AF81" s="8"/>
    </row>
    <row r="82" spans="1:32" ht="11.25">
      <c r="A82" t="s">
        <v>112</v>
      </c>
      <c r="B82" s="22" t="s">
        <v>129</v>
      </c>
      <c r="C82" s="27">
        <f t="shared" si="17"/>
        <v>8.36179981634527</v>
      </c>
      <c r="D82" s="87">
        <v>364240</v>
      </c>
      <c r="E82" s="22">
        <v>2.5</v>
      </c>
      <c r="F82" s="28">
        <f t="shared" si="18"/>
        <v>0.35714285714285715</v>
      </c>
      <c r="G82" s="29">
        <f t="shared" si="19"/>
        <v>10840.47619047619</v>
      </c>
      <c r="H82" s="29">
        <f t="shared" si="20"/>
        <v>81086.76190476191</v>
      </c>
      <c r="I82" s="22">
        <v>1</v>
      </c>
      <c r="J82" s="28">
        <f t="shared" si="21"/>
        <v>0.14285714285714285</v>
      </c>
      <c r="K82" s="29">
        <f t="shared" si="22"/>
        <v>4336.190476190476</v>
      </c>
      <c r="L82" s="30">
        <f t="shared" si="23"/>
        <v>32434.704761904763</v>
      </c>
      <c r="M82" s="54" t="s">
        <v>179</v>
      </c>
      <c r="N82" s="13">
        <v>1200</v>
      </c>
      <c r="O82" s="54"/>
      <c r="P82" s="13">
        <v>1200</v>
      </c>
      <c r="Q82" s="44">
        <f>+$C82*Summary!$A$14*27150/$N82/60</f>
        <v>5.202607323232323</v>
      </c>
      <c r="S82" s="84">
        <f t="shared" si="24"/>
        <v>600</v>
      </c>
      <c r="T82" s="13"/>
      <c r="U82" s="13"/>
      <c r="V82" s="42"/>
      <c r="W82" s="42"/>
      <c r="X82" s="13"/>
      <c r="Y82" s="42"/>
      <c r="Z82" s="43"/>
      <c r="AA82" s="13"/>
      <c r="AB82" s="42"/>
      <c r="AC82" s="42"/>
      <c r="AD82" s="44"/>
      <c r="AE82" s="44"/>
      <c r="AF82" s="8"/>
    </row>
    <row r="83" spans="1:32" ht="11.25">
      <c r="A83" t="s">
        <v>112</v>
      </c>
      <c r="B83" s="22" t="s">
        <v>130</v>
      </c>
      <c r="C83" s="27">
        <f t="shared" si="17"/>
        <v>6.3963039485766755</v>
      </c>
      <c r="D83" s="87">
        <v>278623</v>
      </c>
      <c r="E83" s="22">
        <v>2.5</v>
      </c>
      <c r="F83" s="28">
        <f t="shared" si="18"/>
        <v>0.35714285714285715</v>
      </c>
      <c r="G83" s="29">
        <f t="shared" si="19"/>
        <v>8292.35119047619</v>
      </c>
      <c r="H83" s="29">
        <f t="shared" si="20"/>
        <v>62026.78690476191</v>
      </c>
      <c r="I83" s="22">
        <v>1</v>
      </c>
      <c r="J83" s="28">
        <f t="shared" si="21"/>
        <v>0.14285714285714285</v>
      </c>
      <c r="K83" s="29">
        <f t="shared" si="22"/>
        <v>3316.9404761904757</v>
      </c>
      <c r="L83" s="30">
        <f t="shared" si="23"/>
        <v>24810.71476190476</v>
      </c>
      <c r="M83" s="54" t="s">
        <v>180</v>
      </c>
      <c r="N83" s="13">
        <v>1200</v>
      </c>
      <c r="O83" s="54"/>
      <c r="P83" s="13">
        <v>1200</v>
      </c>
      <c r="Q83" s="44">
        <f>+$C83*Summary!$A$14*27150/$N83/60</f>
        <v>3.97970036300505</v>
      </c>
      <c r="S83" s="84">
        <f t="shared" si="24"/>
        <v>600</v>
      </c>
      <c r="T83" s="13"/>
      <c r="U83" s="13"/>
      <c r="V83" s="42"/>
      <c r="W83" s="42"/>
      <c r="X83" s="13"/>
      <c r="Y83" s="42"/>
      <c r="Z83" s="43"/>
      <c r="AA83" s="13"/>
      <c r="AB83" s="42"/>
      <c r="AC83" s="42"/>
      <c r="AD83" s="44"/>
      <c r="AE83" s="44"/>
      <c r="AF83" s="8"/>
    </row>
    <row r="84" spans="2:32" ht="11.25">
      <c r="B84" s="22" t="s">
        <v>24</v>
      </c>
      <c r="C84" s="27">
        <f>SUM(C77:C83)</f>
        <v>75.15507346189163</v>
      </c>
      <c r="D84" s="87"/>
      <c r="E84" s="22"/>
      <c r="F84" s="22"/>
      <c r="G84" s="30">
        <f>SUM(G77:G83)</f>
        <v>97433.18452380953</v>
      </c>
      <c r="H84" s="30">
        <f>SUM(H77:H83)</f>
        <v>728800.2202380953</v>
      </c>
      <c r="I84" s="30"/>
      <c r="J84" s="30"/>
      <c r="K84" s="30">
        <f>SUM(K77:K83)</f>
        <v>38973.2738095238</v>
      </c>
      <c r="L84" s="30">
        <f>SUM(L77:L83)</f>
        <v>291520.0880952381</v>
      </c>
      <c r="M84" s="54">
        <f>+C84*Summary!$A$14*27152.4/7*Summary!$A$10/12</f>
        <v>400840.1211309523</v>
      </c>
      <c r="N84" s="49">
        <f>SUM(N77:N83)</f>
        <v>6894</v>
      </c>
      <c r="O84" s="54"/>
      <c r="P84" s="21"/>
      <c r="Q84" s="44">
        <f>+$C84*Summary!$A$14*27150/$N84/60</f>
        <v>8.13934678321509</v>
      </c>
      <c r="R84" s="43" t="s">
        <v>177</v>
      </c>
      <c r="S84" s="86">
        <f>SUM(S77:S83)</f>
        <v>3447</v>
      </c>
      <c r="T84" s="13"/>
      <c r="U84" s="13"/>
      <c r="V84" s="42"/>
      <c r="W84" s="42"/>
      <c r="X84" s="13"/>
      <c r="Y84" s="42"/>
      <c r="Z84" s="43"/>
      <c r="AA84" s="13"/>
      <c r="AB84" s="42"/>
      <c r="AC84" s="42"/>
      <c r="AD84" s="44"/>
      <c r="AE84" s="44"/>
      <c r="AF84" s="8"/>
    </row>
    <row r="85" spans="2:32" ht="11.25">
      <c r="B85" s="49" t="s">
        <v>133</v>
      </c>
      <c r="C85" s="22">
        <v>157.7</v>
      </c>
      <c r="N85" s="13" t="s">
        <v>174</v>
      </c>
      <c r="Q85" s="44">
        <f>+Q84*N84</f>
        <v>56112.65672348483</v>
      </c>
      <c r="R85" s="43"/>
      <c r="S85" s="84">
        <f>+S84/N84</f>
        <v>0.5</v>
      </c>
      <c r="T85" s="13"/>
      <c r="U85" s="13"/>
      <c r="V85" s="42"/>
      <c r="W85" s="42"/>
      <c r="X85" s="13"/>
      <c r="Y85" s="42"/>
      <c r="Z85" s="43"/>
      <c r="AA85" s="13"/>
      <c r="AB85" s="42"/>
      <c r="AC85" s="42"/>
      <c r="AD85" s="44"/>
      <c r="AE85" s="44"/>
      <c r="AF85" s="8"/>
    </row>
    <row r="86" spans="2:32" ht="11.25">
      <c r="B86" s="49" t="s">
        <v>134</v>
      </c>
      <c r="C86" s="89">
        <f>C84/C85</f>
        <v>0.47656990147046063</v>
      </c>
      <c r="N86" s="13" t="s">
        <v>176</v>
      </c>
      <c r="Q86" s="44">
        <f>+Q85/Summary!$A$15</f>
        <v>1402.8164180871208</v>
      </c>
      <c r="T86" s="13"/>
      <c r="U86" s="13"/>
      <c r="V86" s="42"/>
      <c r="W86" s="42"/>
      <c r="X86" s="13"/>
      <c r="Y86" s="42"/>
      <c r="Z86" s="43"/>
      <c r="AA86" s="13"/>
      <c r="AB86" s="42"/>
      <c r="AC86" s="42"/>
      <c r="AD86" s="44"/>
      <c r="AE86" s="44"/>
      <c r="AF86" s="8"/>
    </row>
    <row r="87" spans="18:32" ht="11.25">
      <c r="R87" s="43"/>
      <c r="T87" s="13"/>
      <c r="U87" s="13"/>
      <c r="V87" s="42"/>
      <c r="W87" s="42"/>
      <c r="X87" s="13"/>
      <c r="Y87" s="42"/>
      <c r="Z87" s="43"/>
      <c r="AA87" s="13"/>
      <c r="AB87" s="42"/>
      <c r="AC87" s="42"/>
      <c r="AD87" s="44"/>
      <c r="AE87" s="44"/>
      <c r="AF87" s="8"/>
    </row>
    <row r="88" spans="18:32" ht="11.25">
      <c r="R88" s="43"/>
      <c r="T88" s="13"/>
      <c r="U88" s="13"/>
      <c r="V88" s="42"/>
      <c r="W88" s="42"/>
      <c r="X88" s="13"/>
      <c r="Y88" s="42"/>
      <c r="Z88" s="43"/>
      <c r="AA88" s="13"/>
      <c r="AB88" s="42"/>
      <c r="AC88" s="42"/>
      <c r="AD88" s="44"/>
      <c r="AE88" s="44"/>
      <c r="AF88" s="8"/>
    </row>
    <row r="89" spans="2:32" ht="18">
      <c r="B89" s="92" t="s">
        <v>191</v>
      </c>
      <c r="H89" s="20" t="s">
        <v>146</v>
      </c>
      <c r="R89" s="43"/>
      <c r="T89" s="13"/>
      <c r="U89" s="13"/>
      <c r="V89" s="42"/>
      <c r="W89" s="42"/>
      <c r="X89" s="13"/>
      <c r="Y89" s="42"/>
      <c r="Z89" s="43"/>
      <c r="AA89" s="13"/>
      <c r="AB89" s="42"/>
      <c r="AC89" s="42"/>
      <c r="AD89" s="44"/>
      <c r="AE89" s="44"/>
      <c r="AF89" s="8"/>
    </row>
    <row r="90" spans="17:32" ht="11.25">
      <c r="Q90" s="44" t="s">
        <v>175</v>
      </c>
      <c r="R90" s="43"/>
      <c r="T90" s="13"/>
      <c r="U90" s="13"/>
      <c r="V90" s="42"/>
      <c r="W90" s="42"/>
      <c r="X90" s="13"/>
      <c r="Y90" s="42"/>
      <c r="Z90" s="43"/>
      <c r="AA90" s="13"/>
      <c r="AB90" s="42"/>
      <c r="AC90" s="42"/>
      <c r="AD90" s="44"/>
      <c r="AE90" s="44"/>
      <c r="AF90" s="8"/>
    </row>
    <row r="91" spans="2:32" ht="11.25">
      <c r="B91" s="22" t="s">
        <v>75</v>
      </c>
      <c r="C91" s="22" t="s">
        <v>76</v>
      </c>
      <c r="D91" s="87" t="s">
        <v>76</v>
      </c>
      <c r="E91" s="23" t="s">
        <v>77</v>
      </c>
      <c r="F91" s="24"/>
      <c r="G91" s="23" t="s">
        <v>78</v>
      </c>
      <c r="H91" s="24"/>
      <c r="I91" s="23" t="s">
        <v>79</v>
      </c>
      <c r="J91" s="24"/>
      <c r="K91" s="23" t="s">
        <v>80</v>
      </c>
      <c r="L91" s="24"/>
      <c r="M91" s="84"/>
      <c r="N91" s="13" t="s">
        <v>11</v>
      </c>
      <c r="O91" s="84"/>
      <c r="P91" s="21" t="s">
        <v>11</v>
      </c>
      <c r="Q91" s="82" t="s">
        <v>81</v>
      </c>
      <c r="R91" s="43"/>
      <c r="T91" s="13"/>
      <c r="U91" s="13"/>
      <c r="V91" s="42"/>
      <c r="W91" s="42"/>
      <c r="X91" s="13"/>
      <c r="Y91" s="42"/>
      <c r="Z91" s="43"/>
      <c r="AA91" s="13"/>
      <c r="AB91" s="42"/>
      <c r="AC91" s="42"/>
      <c r="AD91" s="44"/>
      <c r="AE91" s="44"/>
      <c r="AF91" s="8"/>
    </row>
    <row r="92" spans="2:32" ht="11.25">
      <c r="B92" s="22"/>
      <c r="C92" s="22" t="s">
        <v>93</v>
      </c>
      <c r="D92" s="87" t="s">
        <v>94</v>
      </c>
      <c r="E92" s="22" t="s">
        <v>95</v>
      </c>
      <c r="F92" s="22" t="s">
        <v>96</v>
      </c>
      <c r="G92" s="22" t="s">
        <v>97</v>
      </c>
      <c r="H92" s="22" t="s">
        <v>98</v>
      </c>
      <c r="I92" s="22" t="s">
        <v>95</v>
      </c>
      <c r="J92" s="22" t="s">
        <v>96</v>
      </c>
      <c r="K92" s="22" t="s">
        <v>97</v>
      </c>
      <c r="L92" s="48" t="s">
        <v>98</v>
      </c>
      <c r="M92" s="46"/>
      <c r="N92" s="21" t="s">
        <v>40</v>
      </c>
      <c r="O92" s="21" t="s">
        <v>99</v>
      </c>
      <c r="P92" s="21" t="s">
        <v>40</v>
      </c>
      <c r="Q92" s="82" t="s">
        <v>100</v>
      </c>
      <c r="R92" s="43"/>
      <c r="T92" s="13"/>
      <c r="U92" s="13"/>
      <c r="V92" s="42"/>
      <c r="W92" s="42"/>
      <c r="X92" s="13"/>
      <c r="Y92" s="42"/>
      <c r="Z92" s="43"/>
      <c r="AA92" s="13"/>
      <c r="AB92" s="42"/>
      <c r="AC92" s="42"/>
      <c r="AD92" s="44"/>
      <c r="AE92" s="44"/>
      <c r="AF92" s="8"/>
    </row>
    <row r="93" spans="1:31" s="8" customFormat="1" ht="11.25">
      <c r="A93" s="8" t="s">
        <v>112</v>
      </c>
      <c r="B93" s="49" t="s">
        <v>147</v>
      </c>
      <c r="C93" s="50">
        <f>D93/43560</f>
        <v>12.614302112029385</v>
      </c>
      <c r="D93" s="90">
        <v>549479</v>
      </c>
      <c r="E93" s="49">
        <v>2.5</v>
      </c>
      <c r="F93" s="51">
        <f>E93/7</f>
        <v>0.35714285714285715</v>
      </c>
      <c r="G93" s="52">
        <f>F93*D93/12</f>
        <v>16353.541666666666</v>
      </c>
      <c r="H93" s="52">
        <f>G93*7.48</f>
        <v>122324.49166666667</v>
      </c>
      <c r="I93" s="49">
        <v>1</v>
      </c>
      <c r="J93" s="51">
        <f>I93/7</f>
        <v>0.14285714285714285</v>
      </c>
      <c r="K93" s="52">
        <f>J93*D93/12</f>
        <v>6541.416666666667</v>
      </c>
      <c r="L93" s="53">
        <f>K93*7.48</f>
        <v>48929.79666666667</v>
      </c>
      <c r="M93" s="54">
        <v>19</v>
      </c>
      <c r="N93" s="13">
        <f>M93*$C$158</f>
        <v>893</v>
      </c>
      <c r="O93" s="54">
        <v>19</v>
      </c>
      <c r="P93" s="13">
        <f>O93*$C$158</f>
        <v>893</v>
      </c>
      <c r="Q93" s="44">
        <f>+$C93*Summary!$A$14*27150/$N93/60</f>
        <v>10.546644249041366</v>
      </c>
      <c r="R93" s="13"/>
      <c r="S93" s="84">
        <f aca="true" t="shared" si="25" ref="S93:S104">IF(Q93&gt;=24,N93,N93/2)</f>
        <v>446.5</v>
      </c>
      <c r="T93" s="13"/>
      <c r="U93" s="13"/>
      <c r="V93" s="42"/>
      <c r="W93" s="42"/>
      <c r="X93" s="13"/>
      <c r="Y93" s="42"/>
      <c r="Z93" s="43"/>
      <c r="AA93" s="13"/>
      <c r="AB93" s="42"/>
      <c r="AC93" s="42"/>
      <c r="AD93" s="44"/>
      <c r="AE93" s="44"/>
    </row>
    <row r="94" spans="2:31" s="8" customFormat="1" ht="11.25">
      <c r="B94" s="49" t="s">
        <v>148</v>
      </c>
      <c r="C94" s="50">
        <f aca="true" t="shared" si="26" ref="C94:C99">D94/43560</f>
        <v>13.564049586776859</v>
      </c>
      <c r="D94" s="90">
        <v>590850</v>
      </c>
      <c r="E94" s="49">
        <v>2.5</v>
      </c>
      <c r="F94" s="51">
        <f aca="true" t="shared" si="27" ref="F94:F99">E94/7</f>
        <v>0.35714285714285715</v>
      </c>
      <c r="G94" s="52">
        <f aca="true" t="shared" si="28" ref="G94:G99">F94*D94/12</f>
        <v>17584.82142857143</v>
      </c>
      <c r="H94" s="52">
        <f aca="true" t="shared" si="29" ref="H94:H99">G94*7.48</f>
        <v>131534.46428571432</v>
      </c>
      <c r="I94" s="49">
        <v>1</v>
      </c>
      <c r="J94" s="51">
        <f aca="true" t="shared" si="30" ref="J94:J99">I94/7</f>
        <v>0.14285714285714285</v>
      </c>
      <c r="K94" s="52">
        <f aca="true" t="shared" si="31" ref="K94:K99">J94*D94/12</f>
        <v>7033.928571428572</v>
      </c>
      <c r="L94" s="53">
        <f aca="true" t="shared" si="32" ref="L94:L99">K94*7.48</f>
        <v>52613.78571428572</v>
      </c>
      <c r="M94" s="54">
        <v>22</v>
      </c>
      <c r="N94" s="13">
        <f aca="true" t="shared" si="33" ref="N94:P99">M94*$C$158</f>
        <v>1034</v>
      </c>
      <c r="O94" s="54">
        <v>22</v>
      </c>
      <c r="P94" s="13">
        <f t="shared" si="33"/>
        <v>1034</v>
      </c>
      <c r="Q94" s="44">
        <f>+$C94*Summary!$A$14*27150/$N94/60</f>
        <v>9.794253890451907</v>
      </c>
      <c r="R94" s="13"/>
      <c r="S94" s="84">
        <f t="shared" si="25"/>
        <v>517</v>
      </c>
      <c r="T94" s="13"/>
      <c r="U94" s="13"/>
      <c r="V94" s="42"/>
      <c r="W94" s="42"/>
      <c r="X94" s="13"/>
      <c r="Y94" s="42"/>
      <c r="Z94" s="43"/>
      <c r="AA94" s="13"/>
      <c r="AB94" s="42"/>
      <c r="AC94" s="42"/>
      <c r="AD94" s="44"/>
      <c r="AE94" s="44"/>
    </row>
    <row r="95" spans="2:31" s="8" customFormat="1" ht="11.25">
      <c r="B95" s="49" t="s">
        <v>149</v>
      </c>
      <c r="C95" s="50">
        <f t="shared" si="26"/>
        <v>14.172704315886135</v>
      </c>
      <c r="D95" s="90">
        <v>617363</v>
      </c>
      <c r="E95" s="49">
        <v>2.5</v>
      </c>
      <c r="F95" s="51">
        <f t="shared" si="27"/>
        <v>0.35714285714285715</v>
      </c>
      <c r="G95" s="52">
        <f t="shared" si="28"/>
        <v>18373.89880952381</v>
      </c>
      <c r="H95" s="52">
        <f t="shared" si="29"/>
        <v>137436.7630952381</v>
      </c>
      <c r="I95" s="49">
        <v>1</v>
      </c>
      <c r="J95" s="51">
        <f t="shared" si="30"/>
        <v>0.14285714285714285</v>
      </c>
      <c r="K95" s="52">
        <f t="shared" si="31"/>
        <v>7349.559523809523</v>
      </c>
      <c r="L95" s="53">
        <f t="shared" si="32"/>
        <v>54974.70523809524</v>
      </c>
      <c r="M95" s="54">
        <v>22</v>
      </c>
      <c r="N95" s="13">
        <f t="shared" si="33"/>
        <v>1034</v>
      </c>
      <c r="O95" s="54">
        <v>22</v>
      </c>
      <c r="P95" s="13">
        <f t="shared" si="33"/>
        <v>1034</v>
      </c>
      <c r="Q95" s="44">
        <f>+$C95*Summary!$A$14*27150/$N95/60</f>
        <v>10.233747930220972</v>
      </c>
      <c r="R95" s="13"/>
      <c r="S95" s="84">
        <f t="shared" si="25"/>
        <v>517</v>
      </c>
      <c r="T95" s="13"/>
      <c r="U95" s="13"/>
      <c r="V95" s="42"/>
      <c r="W95" s="42"/>
      <c r="X95" s="13"/>
      <c r="Y95" s="42"/>
      <c r="Z95" s="43"/>
      <c r="AA95" s="13"/>
      <c r="AB95" s="42"/>
      <c r="AC95" s="42"/>
      <c r="AD95" s="44"/>
      <c r="AE95" s="44"/>
    </row>
    <row r="96" spans="2:31" s="8" customFormat="1" ht="11.25">
      <c r="B96" s="49" t="s">
        <v>150</v>
      </c>
      <c r="C96" s="50">
        <f t="shared" si="26"/>
        <v>12.904591368227733</v>
      </c>
      <c r="D96" s="90">
        <v>562124</v>
      </c>
      <c r="E96" s="49">
        <v>2.5</v>
      </c>
      <c r="F96" s="51">
        <f t="shared" si="27"/>
        <v>0.35714285714285715</v>
      </c>
      <c r="G96" s="52">
        <f t="shared" si="28"/>
        <v>16729.88095238095</v>
      </c>
      <c r="H96" s="52">
        <f t="shared" si="29"/>
        <v>125139.50952380952</v>
      </c>
      <c r="I96" s="49">
        <v>1</v>
      </c>
      <c r="J96" s="51">
        <f t="shared" si="30"/>
        <v>0.14285714285714285</v>
      </c>
      <c r="K96" s="52">
        <f t="shared" si="31"/>
        <v>6691.952380952381</v>
      </c>
      <c r="L96" s="53">
        <f t="shared" si="32"/>
        <v>50055.80380952381</v>
      </c>
      <c r="M96" s="54">
        <v>21</v>
      </c>
      <c r="N96" s="13">
        <f t="shared" si="33"/>
        <v>987</v>
      </c>
      <c r="O96" s="54">
        <v>21</v>
      </c>
      <c r="P96" s="13">
        <f t="shared" si="33"/>
        <v>987</v>
      </c>
      <c r="Q96" s="44">
        <f>+$C96*Summary!$A$14*27150/$N96/60</f>
        <v>9.761793850357682</v>
      </c>
      <c r="R96" s="13"/>
      <c r="S96" s="84">
        <f t="shared" si="25"/>
        <v>493.5</v>
      </c>
      <c r="T96" s="13"/>
      <c r="U96" s="13"/>
      <c r="V96" s="42"/>
      <c r="W96" s="42"/>
      <c r="X96" s="13"/>
      <c r="Y96" s="42"/>
      <c r="Z96" s="43"/>
      <c r="AA96" s="13"/>
      <c r="AB96" s="42"/>
      <c r="AC96" s="42"/>
      <c r="AD96" s="44"/>
      <c r="AE96" s="44"/>
    </row>
    <row r="97" spans="2:31" s="8" customFormat="1" ht="11.25">
      <c r="B97" s="49" t="s">
        <v>151</v>
      </c>
      <c r="C97" s="50">
        <f t="shared" si="26"/>
        <v>11.116620752984389</v>
      </c>
      <c r="D97" s="90">
        <v>484240</v>
      </c>
      <c r="E97" s="49">
        <v>2.5</v>
      </c>
      <c r="F97" s="51">
        <f t="shared" si="27"/>
        <v>0.35714285714285715</v>
      </c>
      <c r="G97" s="52">
        <f t="shared" si="28"/>
        <v>14411.904761904763</v>
      </c>
      <c r="H97" s="52">
        <f t="shared" si="29"/>
        <v>107801.04761904763</v>
      </c>
      <c r="I97" s="49">
        <v>1</v>
      </c>
      <c r="J97" s="51">
        <f t="shared" si="30"/>
        <v>0.14285714285714285</v>
      </c>
      <c r="K97" s="52">
        <f t="shared" si="31"/>
        <v>5764.761904761905</v>
      </c>
      <c r="L97" s="53">
        <f t="shared" si="32"/>
        <v>43120.41904761905</v>
      </c>
      <c r="M97" s="54">
        <v>18</v>
      </c>
      <c r="N97" s="13">
        <f t="shared" si="33"/>
        <v>846</v>
      </c>
      <c r="O97" s="54">
        <v>18</v>
      </c>
      <c r="P97" s="13">
        <f t="shared" si="33"/>
        <v>846</v>
      </c>
      <c r="Q97" s="44">
        <f>+$C97*Summary!$A$14*27150/$N97/60</f>
        <v>9.810812020918403</v>
      </c>
      <c r="R97" s="13"/>
      <c r="S97" s="84">
        <f t="shared" si="25"/>
        <v>423</v>
      </c>
      <c r="T97" s="13"/>
      <c r="U97" s="13"/>
      <c r="V97" s="42"/>
      <c r="W97" s="42"/>
      <c r="X97" s="13"/>
      <c r="Y97" s="42"/>
      <c r="Z97" s="43"/>
      <c r="AA97" s="13"/>
      <c r="AB97" s="42"/>
      <c r="AC97" s="42"/>
      <c r="AD97" s="44"/>
      <c r="AE97" s="44"/>
    </row>
    <row r="98" spans="2:31" s="8" customFormat="1" ht="11.25">
      <c r="B98" s="49" t="s">
        <v>152</v>
      </c>
      <c r="C98" s="50">
        <f t="shared" si="26"/>
        <v>10.675</v>
      </c>
      <c r="D98" s="90">
        <v>465003</v>
      </c>
      <c r="E98" s="49">
        <v>2.5</v>
      </c>
      <c r="F98" s="51">
        <f t="shared" si="27"/>
        <v>0.35714285714285715</v>
      </c>
      <c r="G98" s="52">
        <f t="shared" si="28"/>
        <v>13839.375</v>
      </c>
      <c r="H98" s="52">
        <f t="shared" si="29"/>
        <v>103518.52500000001</v>
      </c>
      <c r="I98" s="49">
        <v>1</v>
      </c>
      <c r="J98" s="51">
        <f t="shared" si="30"/>
        <v>0.14285714285714285</v>
      </c>
      <c r="K98" s="52">
        <f t="shared" si="31"/>
        <v>5535.75</v>
      </c>
      <c r="L98" s="53">
        <f t="shared" si="32"/>
        <v>41407.41</v>
      </c>
      <c r="M98" s="54">
        <v>17</v>
      </c>
      <c r="N98" s="13">
        <f t="shared" si="33"/>
        <v>799</v>
      </c>
      <c r="O98" s="54">
        <v>17</v>
      </c>
      <c r="P98" s="13">
        <f t="shared" si="33"/>
        <v>799</v>
      </c>
      <c r="Q98" s="44">
        <f>+$C98*Summary!$A$14*27150/$N98/60</f>
        <v>9.975246401752191</v>
      </c>
      <c r="R98" s="13"/>
      <c r="S98" s="84">
        <f t="shared" si="25"/>
        <v>399.5</v>
      </c>
      <c r="T98" s="13"/>
      <c r="U98" s="13"/>
      <c r="V98" s="42"/>
      <c r="W98" s="42"/>
      <c r="X98" s="13"/>
      <c r="Y98" s="42"/>
      <c r="Z98" s="43"/>
      <c r="AA98" s="13"/>
      <c r="AB98" s="42"/>
      <c r="AC98" s="42"/>
      <c r="AD98" s="44"/>
      <c r="AE98" s="44"/>
    </row>
    <row r="99" spans="2:31" s="8" customFormat="1" ht="11.25">
      <c r="B99" s="49" t="s">
        <v>153</v>
      </c>
      <c r="C99" s="50">
        <f t="shared" si="26"/>
        <v>11.24212580348944</v>
      </c>
      <c r="D99" s="90">
        <v>489707</v>
      </c>
      <c r="E99" s="49">
        <v>2.5</v>
      </c>
      <c r="F99" s="51">
        <f t="shared" si="27"/>
        <v>0.35714285714285715</v>
      </c>
      <c r="G99" s="52">
        <f t="shared" si="28"/>
        <v>14574.613095238097</v>
      </c>
      <c r="H99" s="52">
        <f t="shared" si="29"/>
        <v>109018.10595238097</v>
      </c>
      <c r="I99" s="49">
        <v>1</v>
      </c>
      <c r="J99" s="51">
        <f t="shared" si="30"/>
        <v>0.14285714285714285</v>
      </c>
      <c r="K99" s="52">
        <f t="shared" si="31"/>
        <v>5829.845238095238</v>
      </c>
      <c r="L99" s="53">
        <f t="shared" si="32"/>
        <v>43607.24238095238</v>
      </c>
      <c r="M99" s="54">
        <v>17</v>
      </c>
      <c r="N99" s="13">
        <f t="shared" si="33"/>
        <v>799</v>
      </c>
      <c r="O99" s="54">
        <v>17</v>
      </c>
      <c r="P99" s="13">
        <f t="shared" si="33"/>
        <v>799</v>
      </c>
      <c r="Q99" s="44">
        <f>+$C99*Summary!$A$14*27150/$N99/60</f>
        <v>10.505196718435922</v>
      </c>
      <c r="R99" s="13"/>
      <c r="S99" s="84">
        <f t="shared" si="25"/>
        <v>399.5</v>
      </c>
      <c r="T99" s="13"/>
      <c r="U99" s="13"/>
      <c r="V99" s="42"/>
      <c r="W99" s="42"/>
      <c r="X99" s="13"/>
      <c r="Y99" s="42"/>
      <c r="Z99" s="43"/>
      <c r="AA99" s="13"/>
      <c r="AB99" s="42"/>
      <c r="AC99" s="42"/>
      <c r="AD99" s="44"/>
      <c r="AE99" s="44"/>
    </row>
    <row r="100" spans="1:31" s="31" customFormat="1" ht="11.25">
      <c r="A100" s="31" t="s">
        <v>125</v>
      </c>
      <c r="B100" s="32" t="s">
        <v>126</v>
      </c>
      <c r="C100" s="33">
        <f>D100/43560</f>
        <v>30.262855831037648</v>
      </c>
      <c r="D100" s="88">
        <v>1318250</v>
      </c>
      <c r="E100" s="32">
        <v>2.5</v>
      </c>
      <c r="F100" s="34">
        <f>E100/7</f>
        <v>0.35714285714285715</v>
      </c>
      <c r="G100" s="35">
        <f>F100*D100/12</f>
        <v>39233.630952380954</v>
      </c>
      <c r="H100" s="35">
        <f>G100*7.48</f>
        <v>293467.5595238095</v>
      </c>
      <c r="I100" s="32">
        <v>1</v>
      </c>
      <c r="J100" s="34">
        <f>I100/7</f>
        <v>0.14285714285714285</v>
      </c>
      <c r="K100" s="35">
        <f>J100*D100/12</f>
        <v>15693.45238095238</v>
      </c>
      <c r="L100" s="36">
        <f>K100*7.48</f>
        <v>117387.0238095238</v>
      </c>
      <c r="M100" s="54"/>
      <c r="N100" s="13">
        <v>900</v>
      </c>
      <c r="O100" s="54"/>
      <c r="P100" s="13">
        <v>900</v>
      </c>
      <c r="Q100" s="44">
        <f>+$C100*Summary!$A$14*27150/$N100/60</f>
        <v>25.105560816498315</v>
      </c>
      <c r="R100" s="13"/>
      <c r="S100" s="84">
        <f t="shared" si="25"/>
        <v>900</v>
      </c>
      <c r="T100" s="37">
        <v>826</v>
      </c>
      <c r="U100" s="37">
        <v>0.5</v>
      </c>
      <c r="V100" s="38">
        <f>(3.14159*T100^2)*U100</f>
        <v>1071715.72942</v>
      </c>
      <c r="W100" s="38">
        <f>(2*3.14159*T100)*U100</f>
        <v>2594.95334</v>
      </c>
      <c r="X100" s="37">
        <v>10.76</v>
      </c>
      <c r="Y100" s="38">
        <f>W100/X100</f>
        <v>241.16666728624537</v>
      </c>
      <c r="Z100" s="39">
        <f>Y100/60</f>
        <v>4.019444454770756</v>
      </c>
      <c r="AA100" s="37">
        <f>N100</f>
        <v>900</v>
      </c>
      <c r="AB100" s="38">
        <f>Y100*AA100</f>
        <v>217050.00055762084</v>
      </c>
      <c r="AC100" s="38">
        <f>AB100/7.48</f>
        <v>29017.379753692625</v>
      </c>
      <c r="AD100" s="40">
        <f>(AC100/V100)*12</f>
        <v>0.32490757342225246</v>
      </c>
      <c r="AE100" s="40">
        <f>AD100/Z100</f>
        <v>0.08083395033276636</v>
      </c>
    </row>
    <row r="101" spans="1:31" s="31" customFormat="1" ht="11.25">
      <c r="A101" s="31" t="s">
        <v>125</v>
      </c>
      <c r="B101" s="32" t="s">
        <v>127</v>
      </c>
      <c r="C101" s="33">
        <f>D101/43560</f>
        <v>107.82963728191001</v>
      </c>
      <c r="D101" s="88">
        <v>4697059</v>
      </c>
      <c r="E101" s="32">
        <v>2.5</v>
      </c>
      <c r="F101" s="34">
        <f>E101/7</f>
        <v>0.35714285714285715</v>
      </c>
      <c r="G101" s="35">
        <f>F101*D101/12</f>
        <v>139793.4226190476</v>
      </c>
      <c r="H101" s="35">
        <f>G101*7.48</f>
        <v>1045654.8011904762</v>
      </c>
      <c r="I101" s="32">
        <v>1</v>
      </c>
      <c r="J101" s="34">
        <f>I101/7</f>
        <v>0.14285714285714285</v>
      </c>
      <c r="K101" s="35">
        <f>J101*D101/12</f>
        <v>55917.369047619046</v>
      </c>
      <c r="L101" s="36">
        <f>K101*7.48</f>
        <v>418261.9204761905</v>
      </c>
      <c r="M101" s="54"/>
      <c r="N101" s="13">
        <v>1050</v>
      </c>
      <c r="O101" s="54"/>
      <c r="P101" s="13">
        <v>1050</v>
      </c>
      <c r="Q101" s="44">
        <f>+$C101*Summary!$A$14*27150/$N101/60</f>
        <v>76.67457422438672</v>
      </c>
      <c r="R101" s="13"/>
      <c r="S101" s="84">
        <f t="shared" si="25"/>
        <v>1050</v>
      </c>
      <c r="T101" s="37">
        <v>1108</v>
      </c>
      <c r="U101" s="37">
        <v>1</v>
      </c>
      <c r="V101" s="38">
        <f>(3.14159*T101^2)*U101</f>
        <v>3856816.94576</v>
      </c>
      <c r="W101" s="38">
        <f>(2*3.14159*T101)*U101</f>
        <v>6961.76344</v>
      </c>
      <c r="X101" s="37">
        <v>10.76</v>
      </c>
      <c r="Y101" s="38">
        <f>W101/X101</f>
        <v>647.0040371747211</v>
      </c>
      <c r="Z101" s="39">
        <f>Y101/60</f>
        <v>10.783400619578686</v>
      </c>
      <c r="AA101" s="37">
        <f>N101</f>
        <v>1050</v>
      </c>
      <c r="AB101" s="38">
        <f>Y101*AA101</f>
        <v>679354.2390334572</v>
      </c>
      <c r="AC101" s="38">
        <f>AB101/7.48</f>
        <v>90822.75922907182</v>
      </c>
      <c r="AD101" s="40">
        <f>(AC101/V101)*12</f>
        <v>0.2825835724319289</v>
      </c>
      <c r="AE101" s="40">
        <f>AD101/Z101</f>
        <v>0.026205422797596998</v>
      </c>
    </row>
    <row r="102" spans="1:19" ht="11.25">
      <c r="A102" t="s">
        <v>112</v>
      </c>
      <c r="B102" s="22" t="s">
        <v>129</v>
      </c>
      <c r="C102" s="27">
        <f>D102/43560</f>
        <v>9.33698347107438</v>
      </c>
      <c r="D102" s="87">
        <v>406719</v>
      </c>
      <c r="E102" s="22">
        <v>2.5</v>
      </c>
      <c r="F102" s="28">
        <f>E102/7</f>
        <v>0.35714285714285715</v>
      </c>
      <c r="G102" s="29">
        <f>F102*D102/12</f>
        <v>12104.732142857143</v>
      </c>
      <c r="H102" s="29">
        <f>G102*7.48</f>
        <v>90543.39642857143</v>
      </c>
      <c r="I102" s="22">
        <v>1</v>
      </c>
      <c r="J102" s="28">
        <f>I102/7</f>
        <v>0.14285714285714285</v>
      </c>
      <c r="K102" s="29">
        <f>J102*D102/12</f>
        <v>4841.892857142857</v>
      </c>
      <c r="L102" s="30">
        <f>K102*7.48</f>
        <v>36217.35857142857</v>
      </c>
      <c r="M102" s="54"/>
      <c r="N102" s="13">
        <v>850</v>
      </c>
      <c r="O102" s="54"/>
      <c r="P102" s="13">
        <v>850</v>
      </c>
      <c r="Q102" s="44">
        <f>+$C102*Summary!$A$14*27150/$N102/60</f>
        <v>8.201441510695187</v>
      </c>
      <c r="S102" s="84">
        <f t="shared" si="25"/>
        <v>425</v>
      </c>
    </row>
    <row r="103" spans="1:19" ht="11.25">
      <c r="A103" t="s">
        <v>112</v>
      </c>
      <c r="B103" s="22" t="s">
        <v>130</v>
      </c>
      <c r="C103" s="27">
        <f>D103/43560</f>
        <v>27.670293847566576</v>
      </c>
      <c r="D103" s="87">
        <v>1205318</v>
      </c>
      <c r="E103" s="22">
        <v>2.5</v>
      </c>
      <c r="F103" s="28">
        <f>E103/7</f>
        <v>0.35714285714285715</v>
      </c>
      <c r="G103" s="29">
        <f>F103*D103/12</f>
        <v>35872.55952380953</v>
      </c>
      <c r="H103" s="29">
        <f>G103*7.48</f>
        <v>268326.7452380953</v>
      </c>
      <c r="I103" s="22">
        <v>1</v>
      </c>
      <c r="J103" s="28">
        <f>I103/7</f>
        <v>0.14285714285714285</v>
      </c>
      <c r="K103" s="29">
        <f>J103*D103/12</f>
        <v>14349.02380952381</v>
      </c>
      <c r="L103" s="30">
        <f>K103*7.48</f>
        <v>107330.6980952381</v>
      </c>
      <c r="M103" s="54" t="s">
        <v>179</v>
      </c>
      <c r="N103" s="13">
        <v>1200</v>
      </c>
      <c r="O103" s="54"/>
      <c r="P103" s="13">
        <v>1200</v>
      </c>
      <c r="Q103" s="44">
        <f>+$C103*Summary!$A$14*27150/$N103/60</f>
        <v>17.21611095328283</v>
      </c>
      <c r="S103" s="84">
        <f t="shared" si="25"/>
        <v>600</v>
      </c>
    </row>
    <row r="104" spans="1:19" ht="11.25">
      <c r="A104" t="s">
        <v>112</v>
      </c>
      <c r="B104" s="22" t="s">
        <v>131</v>
      </c>
      <c r="C104" s="27">
        <f>D104/43560</f>
        <v>38.98298898071625</v>
      </c>
      <c r="D104" s="87">
        <v>1698099</v>
      </c>
      <c r="E104" s="22">
        <v>2.5</v>
      </c>
      <c r="F104" s="28">
        <f>E104/7</f>
        <v>0.35714285714285715</v>
      </c>
      <c r="G104" s="29">
        <f>F104*D104/12</f>
        <v>50538.66071428572</v>
      </c>
      <c r="H104" s="29">
        <f>G104*7.48</f>
        <v>378029.1821428572</v>
      </c>
      <c r="I104" s="22">
        <v>1</v>
      </c>
      <c r="J104" s="28">
        <f>I104/7</f>
        <v>0.14285714285714285</v>
      </c>
      <c r="K104" s="29">
        <f>J104*D104/12</f>
        <v>20215.464285714286</v>
      </c>
      <c r="L104" s="30">
        <f>K104*7.48</f>
        <v>151211.67285714287</v>
      </c>
      <c r="M104" s="54" t="s">
        <v>180</v>
      </c>
      <c r="N104" s="13">
        <v>1200</v>
      </c>
      <c r="O104" s="54"/>
      <c r="P104" s="13">
        <v>1200</v>
      </c>
      <c r="Q104" s="44">
        <f>+$C104*Summary!$A$14*27150/$N104/60</f>
        <v>24.254728456439395</v>
      </c>
      <c r="S104" s="84">
        <f t="shared" si="25"/>
        <v>1200</v>
      </c>
    </row>
    <row r="105" spans="2:19" ht="11.25">
      <c r="B105" s="22" t="s">
        <v>24</v>
      </c>
      <c r="C105" s="27">
        <f>SUM(C93:C104)</f>
        <v>300.3721533516988</v>
      </c>
      <c r="D105" s="87"/>
      <c r="E105" s="22"/>
      <c r="F105" s="22"/>
      <c r="G105" s="30">
        <f>SUM(G93:G104)</f>
        <v>389411.0416666667</v>
      </c>
      <c r="H105" s="30">
        <f>SUM(H93:H104)</f>
        <v>2912794.5916666663</v>
      </c>
      <c r="I105" s="30"/>
      <c r="J105" s="30"/>
      <c r="K105" s="30">
        <f>SUM(K93:K104)</f>
        <v>155764.41666666666</v>
      </c>
      <c r="L105" s="30">
        <f>SUM(L93:L104)</f>
        <v>1165117.836666667</v>
      </c>
      <c r="M105" s="54">
        <f>+C105*Summary!$A$14*27152.4/7*Summary!$A$10/12</f>
        <v>1602037.0254166666</v>
      </c>
      <c r="N105" s="49">
        <f>SUM(N93:N104)</f>
        <v>11592</v>
      </c>
      <c r="O105" s="54"/>
      <c r="P105" s="21"/>
      <c r="Q105" s="44">
        <f>+$C105*Summary!$A$14*27150/$N105/60</f>
        <v>19.34656306040477</v>
      </c>
      <c r="R105" s="43" t="s">
        <v>177</v>
      </c>
      <c r="S105" s="86">
        <f>SUM(S93:S104)</f>
        <v>7371</v>
      </c>
    </row>
    <row r="106" spans="2:19" ht="11.25">
      <c r="B106" s="49" t="s">
        <v>133</v>
      </c>
      <c r="C106" s="22">
        <v>395.1</v>
      </c>
      <c r="N106" s="13" t="s">
        <v>174</v>
      </c>
      <c r="Q106" s="44">
        <f>+Q105*N105</f>
        <v>224265.35899621207</v>
      </c>
      <c r="R106" s="43"/>
      <c r="S106" s="84">
        <f>+S105/N105</f>
        <v>0.6358695652173914</v>
      </c>
    </row>
    <row r="107" spans="2:19" ht="12.75">
      <c r="B107" s="49" t="s">
        <v>134</v>
      </c>
      <c r="C107" s="89">
        <f>C105/C106</f>
        <v>0.7602433645955423</v>
      </c>
      <c r="N107" s="13" t="s">
        <v>176</v>
      </c>
      <c r="Q107" s="44">
        <f>+Q106/Summary!$A$15</f>
        <v>5606.633974905302</v>
      </c>
      <c r="S107" s="85"/>
    </row>
    <row r="108" spans="17:19" ht="12.75">
      <c r="Q108" s="83"/>
      <c r="R108" s="55"/>
      <c r="S108" s="85"/>
    </row>
    <row r="109" spans="17:19" ht="12.75">
      <c r="Q109" s="83"/>
      <c r="R109" s="55"/>
      <c r="S109" s="85"/>
    </row>
    <row r="110" spans="17:19" ht="12.75">
      <c r="Q110" s="83"/>
      <c r="R110" s="55"/>
      <c r="S110" s="85"/>
    </row>
    <row r="111" spans="2:19" ht="18">
      <c r="B111" s="91" t="s">
        <v>192</v>
      </c>
      <c r="H111" s="20" t="s">
        <v>154</v>
      </c>
      <c r="Q111" s="83"/>
      <c r="R111" s="55"/>
      <c r="S111" s="85"/>
    </row>
    <row r="112" spans="17:19" ht="12.75">
      <c r="Q112" s="44" t="s">
        <v>175</v>
      </c>
      <c r="R112" s="55"/>
      <c r="S112" s="85"/>
    </row>
    <row r="113" spans="2:19" ht="12.75">
      <c r="B113" s="22" t="s">
        <v>75</v>
      </c>
      <c r="C113" s="22" t="s">
        <v>76</v>
      </c>
      <c r="D113" s="87" t="s">
        <v>76</v>
      </c>
      <c r="E113" s="23" t="s">
        <v>77</v>
      </c>
      <c r="F113" s="24"/>
      <c r="G113" s="23" t="s">
        <v>78</v>
      </c>
      <c r="H113" s="24"/>
      <c r="I113" s="23" t="s">
        <v>79</v>
      </c>
      <c r="J113" s="24"/>
      <c r="K113" s="23" t="s">
        <v>80</v>
      </c>
      <c r="L113" s="24"/>
      <c r="M113" s="84"/>
      <c r="N113" s="13" t="s">
        <v>11</v>
      </c>
      <c r="O113" s="84"/>
      <c r="P113" s="21" t="s">
        <v>11</v>
      </c>
      <c r="Q113" s="82" t="s">
        <v>81</v>
      </c>
      <c r="R113" s="55"/>
      <c r="S113" s="85"/>
    </row>
    <row r="114" spans="2:19" ht="12.75">
      <c r="B114" s="22"/>
      <c r="C114" s="22" t="s">
        <v>93</v>
      </c>
      <c r="D114" s="87" t="s">
        <v>94</v>
      </c>
      <c r="E114" s="22" t="s">
        <v>95</v>
      </c>
      <c r="F114" s="22" t="s">
        <v>96</v>
      </c>
      <c r="G114" s="22" t="s">
        <v>97</v>
      </c>
      <c r="H114" s="22" t="s">
        <v>98</v>
      </c>
      <c r="I114" s="22" t="s">
        <v>95</v>
      </c>
      <c r="J114" s="22" t="s">
        <v>96</v>
      </c>
      <c r="K114" s="22" t="s">
        <v>97</v>
      </c>
      <c r="L114" s="22" t="s">
        <v>98</v>
      </c>
      <c r="M114" s="46"/>
      <c r="N114" s="21" t="s">
        <v>40</v>
      </c>
      <c r="O114" s="21" t="s">
        <v>99</v>
      </c>
      <c r="P114" s="21" t="s">
        <v>40</v>
      </c>
      <c r="Q114" s="82" t="s">
        <v>100</v>
      </c>
      <c r="R114" s="55"/>
      <c r="S114" s="85"/>
    </row>
    <row r="115" spans="1:31" s="8" customFormat="1" ht="11.25">
      <c r="A115" s="8" t="s">
        <v>112</v>
      </c>
      <c r="B115" s="49" t="s">
        <v>155</v>
      </c>
      <c r="C115" s="50">
        <f>D115/43560</f>
        <v>16.00580808080808</v>
      </c>
      <c r="D115" s="90">
        <v>697213</v>
      </c>
      <c r="E115" s="49">
        <v>2.5</v>
      </c>
      <c r="F115" s="51">
        <f>E115/7</f>
        <v>0.35714285714285715</v>
      </c>
      <c r="G115" s="52">
        <f>F115*D115/12</f>
        <v>20750.386904761905</v>
      </c>
      <c r="H115" s="52">
        <f>G115*7.48</f>
        <v>155212.89404761905</v>
      </c>
      <c r="I115" s="49">
        <v>1</v>
      </c>
      <c r="J115" s="51">
        <f>I115/7</f>
        <v>0.14285714285714285</v>
      </c>
      <c r="K115" s="52">
        <f>J115*D115/12</f>
        <v>8300.154761904761</v>
      </c>
      <c r="L115" s="53">
        <f>K115*7.48</f>
        <v>62085.15761904762</v>
      </c>
      <c r="M115" s="54">
        <v>24</v>
      </c>
      <c r="N115" s="13">
        <f>M115*$C$158</f>
        <v>1128</v>
      </c>
      <c r="O115" s="54">
        <v>24</v>
      </c>
      <c r="P115" s="13">
        <f>O115*$C$158</f>
        <v>1128</v>
      </c>
      <c r="Q115" s="44">
        <f>+$C115*Summary!$A$14*27150/$N115/60</f>
        <v>10.594269909869976</v>
      </c>
      <c r="R115" s="13"/>
      <c r="S115" s="84">
        <f aca="true" t="shared" si="34" ref="S115:S123">IF(Q115&gt;=24,N115,N115/2)</f>
        <v>564</v>
      </c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2:31" s="8" customFormat="1" ht="11.25">
      <c r="B116" s="49" t="s">
        <v>156</v>
      </c>
      <c r="C116" s="50">
        <f>D116/43560</f>
        <v>18.070661157024794</v>
      </c>
      <c r="D116" s="90">
        <v>787158</v>
      </c>
      <c r="E116" s="49">
        <v>2.5</v>
      </c>
      <c r="F116" s="51">
        <f>E116/7</f>
        <v>0.35714285714285715</v>
      </c>
      <c r="G116" s="52">
        <f>F116*D116/12</f>
        <v>23427.32142857143</v>
      </c>
      <c r="H116" s="52">
        <f>G116*7.48</f>
        <v>175236.3642857143</v>
      </c>
      <c r="I116" s="49">
        <v>1</v>
      </c>
      <c r="J116" s="51">
        <f>I116/7</f>
        <v>0.14285714285714285</v>
      </c>
      <c r="K116" s="52">
        <f>J116*D116/12</f>
        <v>9370.92857142857</v>
      </c>
      <c r="L116" s="53">
        <f>K116*7.48</f>
        <v>70094.54571428572</v>
      </c>
      <c r="M116" s="54">
        <v>29</v>
      </c>
      <c r="N116" s="13">
        <f>M116*$C$158</f>
        <v>1363</v>
      </c>
      <c r="O116" s="54">
        <v>29</v>
      </c>
      <c r="P116" s="13">
        <f>O116*$C$158</f>
        <v>1363</v>
      </c>
      <c r="Q116" s="44">
        <f>+$C116*Summary!$A$14*27150/$N116/60</f>
        <v>9.898758170479558</v>
      </c>
      <c r="R116" s="13"/>
      <c r="S116" s="84">
        <f t="shared" si="34"/>
        <v>681.5</v>
      </c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19" ht="11.25">
      <c r="A117" t="s">
        <v>112</v>
      </c>
      <c r="B117" s="22" t="s">
        <v>126</v>
      </c>
      <c r="C117" s="27">
        <f>D117/43560</f>
        <v>18.692745638200183</v>
      </c>
      <c r="D117" s="87">
        <v>814256</v>
      </c>
      <c r="E117" s="22">
        <v>2.5</v>
      </c>
      <c r="F117" s="28">
        <f aca="true" t="shared" si="35" ref="F117:F123">E117/7</f>
        <v>0.35714285714285715</v>
      </c>
      <c r="G117" s="29">
        <f aca="true" t="shared" si="36" ref="G117:G123">F117*D117/12</f>
        <v>24233.809523809527</v>
      </c>
      <c r="H117" s="29">
        <f aca="true" t="shared" si="37" ref="H117:H123">G117*7.48</f>
        <v>181268.89523809528</v>
      </c>
      <c r="I117" s="22">
        <v>1</v>
      </c>
      <c r="J117" s="28">
        <f aca="true" t="shared" si="38" ref="J117:J123">I117/7</f>
        <v>0.14285714285714285</v>
      </c>
      <c r="K117" s="29">
        <f aca="true" t="shared" si="39" ref="K117:K123">J117*D117/12</f>
        <v>9693.52380952381</v>
      </c>
      <c r="L117" s="30">
        <f aca="true" t="shared" si="40" ref="L117:L123">K117*7.48</f>
        <v>72507.5580952381</v>
      </c>
      <c r="M117" s="54"/>
      <c r="N117" s="13">
        <v>1200</v>
      </c>
      <c r="O117" s="54"/>
      <c r="P117" s="13">
        <v>1200</v>
      </c>
      <c r="Q117" s="44">
        <f>+$C117*Summary!$A$14*27150/$N117/60</f>
        <v>11.630392676767677</v>
      </c>
      <c r="S117" s="84">
        <f t="shared" si="34"/>
        <v>600</v>
      </c>
    </row>
    <row r="118" spans="1:19" ht="11.25">
      <c r="A118" t="s">
        <v>112</v>
      </c>
      <c r="B118" s="22" t="s">
        <v>127</v>
      </c>
      <c r="C118" s="27">
        <f aca="true" t="shared" si="41" ref="C118:C123">D118/43560</f>
        <v>7.178558310376492</v>
      </c>
      <c r="D118" s="87">
        <v>312698</v>
      </c>
      <c r="E118" s="22">
        <v>2.5</v>
      </c>
      <c r="F118" s="28">
        <f t="shared" si="35"/>
        <v>0.35714285714285715</v>
      </c>
      <c r="G118" s="29">
        <f t="shared" si="36"/>
        <v>9306.488095238095</v>
      </c>
      <c r="H118" s="29">
        <f t="shared" si="37"/>
        <v>69612.53095238096</v>
      </c>
      <c r="I118" s="22">
        <v>1</v>
      </c>
      <c r="J118" s="28">
        <f t="shared" si="38"/>
        <v>0.14285714285714285</v>
      </c>
      <c r="K118" s="29">
        <f t="shared" si="39"/>
        <v>3722.595238095238</v>
      </c>
      <c r="L118" s="30">
        <f t="shared" si="40"/>
        <v>27845.012380952383</v>
      </c>
      <c r="M118" s="54"/>
      <c r="N118" s="13">
        <v>1200</v>
      </c>
      <c r="O118" s="54"/>
      <c r="P118" s="13">
        <v>1200</v>
      </c>
      <c r="Q118" s="44">
        <f>+$C118*Summary!$A$14*27150/$N118/60</f>
        <v>4.466409248737373</v>
      </c>
      <c r="S118" s="84">
        <f t="shared" si="34"/>
        <v>600</v>
      </c>
    </row>
    <row r="119" spans="1:19" ht="11.25">
      <c r="A119" t="s">
        <v>112</v>
      </c>
      <c r="B119" s="22" t="s">
        <v>129</v>
      </c>
      <c r="C119" s="27">
        <f t="shared" si="41"/>
        <v>9.832460973370065</v>
      </c>
      <c r="D119" s="87">
        <v>428302</v>
      </c>
      <c r="E119" s="22">
        <v>2.5</v>
      </c>
      <c r="F119" s="28">
        <f t="shared" si="35"/>
        <v>0.35714285714285715</v>
      </c>
      <c r="G119" s="29">
        <f t="shared" si="36"/>
        <v>12747.083333333334</v>
      </c>
      <c r="H119" s="29">
        <f t="shared" si="37"/>
        <v>95348.18333333335</v>
      </c>
      <c r="I119" s="22">
        <v>1</v>
      </c>
      <c r="J119" s="28">
        <f t="shared" si="38"/>
        <v>0.14285714285714285</v>
      </c>
      <c r="K119" s="29">
        <f t="shared" si="39"/>
        <v>5098.833333333333</v>
      </c>
      <c r="L119" s="30">
        <f t="shared" si="40"/>
        <v>38139.27333333333</v>
      </c>
      <c r="M119" s="54"/>
      <c r="N119" s="13">
        <v>1200</v>
      </c>
      <c r="O119" s="54"/>
      <c r="P119" s="13">
        <v>1200</v>
      </c>
      <c r="Q119" s="44">
        <f>+$C119*Summary!$A$14*27150/$N119/60</f>
        <v>6.117634311868686</v>
      </c>
      <c r="S119" s="84">
        <f t="shared" si="34"/>
        <v>600</v>
      </c>
    </row>
    <row r="120" spans="1:19" ht="11.25">
      <c r="A120" t="s">
        <v>112</v>
      </c>
      <c r="B120" s="22" t="s">
        <v>130</v>
      </c>
      <c r="C120" s="27">
        <f t="shared" si="41"/>
        <v>7.838016528925619</v>
      </c>
      <c r="D120" s="87">
        <v>341424</v>
      </c>
      <c r="E120" s="22">
        <v>2.5</v>
      </c>
      <c r="F120" s="28">
        <f t="shared" si="35"/>
        <v>0.35714285714285715</v>
      </c>
      <c r="G120" s="29">
        <f t="shared" si="36"/>
        <v>10161.42857142857</v>
      </c>
      <c r="H120" s="29">
        <f t="shared" si="37"/>
        <v>76007.4857142857</v>
      </c>
      <c r="I120" s="22">
        <v>1</v>
      </c>
      <c r="J120" s="28">
        <f t="shared" si="38"/>
        <v>0.14285714285714285</v>
      </c>
      <c r="K120" s="29">
        <f t="shared" si="39"/>
        <v>4064.571428571428</v>
      </c>
      <c r="L120" s="30">
        <f t="shared" si="40"/>
        <v>30402.99428571428</v>
      </c>
      <c r="M120" s="54"/>
      <c r="N120" s="13">
        <v>1200</v>
      </c>
      <c r="O120" s="54"/>
      <c r="P120" s="13">
        <v>1200</v>
      </c>
      <c r="Q120" s="44">
        <f>+$C120*Summary!$A$14*27150/$N120/60</f>
        <v>4.876715909090908</v>
      </c>
      <c r="S120" s="84">
        <f t="shared" si="34"/>
        <v>600</v>
      </c>
    </row>
    <row r="121" spans="1:19" ht="11.25">
      <c r="A121" t="s">
        <v>112</v>
      </c>
      <c r="B121" s="22" t="s">
        <v>131</v>
      </c>
      <c r="C121" s="27">
        <f t="shared" si="41"/>
        <v>45.78415977961433</v>
      </c>
      <c r="D121" s="87">
        <v>1994358</v>
      </c>
      <c r="E121" s="22">
        <v>2.5</v>
      </c>
      <c r="F121" s="28">
        <f t="shared" si="35"/>
        <v>0.35714285714285715</v>
      </c>
      <c r="G121" s="29">
        <f t="shared" si="36"/>
        <v>59355.89285714286</v>
      </c>
      <c r="H121" s="29">
        <f t="shared" si="37"/>
        <v>443982.07857142866</v>
      </c>
      <c r="I121" s="22">
        <v>1</v>
      </c>
      <c r="J121" s="28">
        <f t="shared" si="38"/>
        <v>0.14285714285714285</v>
      </c>
      <c r="K121" s="29">
        <f t="shared" si="39"/>
        <v>23742.35714285714</v>
      </c>
      <c r="L121" s="30">
        <f t="shared" si="40"/>
        <v>177592.83142857143</v>
      </c>
      <c r="M121" s="54"/>
      <c r="N121" s="13">
        <v>1200</v>
      </c>
      <c r="O121" s="54"/>
      <c r="P121" s="13">
        <v>1200</v>
      </c>
      <c r="Q121" s="44">
        <f>+$C121*Summary!$A$14*27150/$N121/60</f>
        <v>28.486331912878786</v>
      </c>
      <c r="S121" s="84">
        <f t="shared" si="34"/>
        <v>1200</v>
      </c>
    </row>
    <row r="122" spans="1:19" ht="11.25">
      <c r="A122" t="s">
        <v>112</v>
      </c>
      <c r="B122" s="22" t="s">
        <v>132</v>
      </c>
      <c r="C122" s="27">
        <f t="shared" si="41"/>
        <v>12.942768595041322</v>
      </c>
      <c r="D122" s="87">
        <v>563787</v>
      </c>
      <c r="E122" s="22">
        <v>2.5</v>
      </c>
      <c r="F122" s="28">
        <f t="shared" si="35"/>
        <v>0.35714285714285715</v>
      </c>
      <c r="G122" s="29">
        <f t="shared" si="36"/>
        <v>16779.375</v>
      </c>
      <c r="H122" s="29">
        <f t="shared" si="37"/>
        <v>125509.725</v>
      </c>
      <c r="I122" s="22">
        <v>1</v>
      </c>
      <c r="J122" s="28">
        <f t="shared" si="38"/>
        <v>0.14285714285714285</v>
      </c>
      <c r="K122" s="29">
        <f t="shared" si="39"/>
        <v>6711.75</v>
      </c>
      <c r="L122" s="30">
        <f t="shared" si="40"/>
        <v>50203.89</v>
      </c>
      <c r="M122" s="54" t="s">
        <v>179</v>
      </c>
      <c r="N122" s="13">
        <v>1200</v>
      </c>
      <c r="O122" s="54"/>
      <c r="P122" s="13">
        <v>1200</v>
      </c>
      <c r="Q122" s="44">
        <f>+$C122*Summary!$A$14*27150/$N122/60</f>
        <v>8.052828835227272</v>
      </c>
      <c r="S122" s="84">
        <f t="shared" si="34"/>
        <v>600</v>
      </c>
    </row>
    <row r="123" spans="1:19" ht="11.25">
      <c r="A123" t="s">
        <v>112</v>
      </c>
      <c r="B123" s="22" t="s">
        <v>157</v>
      </c>
      <c r="C123" s="27">
        <f t="shared" si="41"/>
        <v>14.066965105601469</v>
      </c>
      <c r="D123" s="87">
        <v>612757</v>
      </c>
      <c r="E123" s="22">
        <v>2.5</v>
      </c>
      <c r="F123" s="28">
        <f t="shared" si="35"/>
        <v>0.35714285714285715</v>
      </c>
      <c r="G123" s="29">
        <f t="shared" si="36"/>
        <v>18236.815476190477</v>
      </c>
      <c r="H123" s="29">
        <f t="shared" si="37"/>
        <v>136411.37976190477</v>
      </c>
      <c r="I123" s="22">
        <v>1</v>
      </c>
      <c r="J123" s="28">
        <f t="shared" si="38"/>
        <v>0.14285714285714285</v>
      </c>
      <c r="K123" s="29">
        <f t="shared" si="39"/>
        <v>7294.72619047619</v>
      </c>
      <c r="L123" s="30">
        <f t="shared" si="40"/>
        <v>54564.5519047619</v>
      </c>
      <c r="M123" s="54" t="s">
        <v>180</v>
      </c>
      <c r="N123" s="13">
        <v>1200</v>
      </c>
      <c r="O123" s="54"/>
      <c r="P123" s="13">
        <v>1200</v>
      </c>
      <c r="Q123" s="44">
        <f>+$C123*Summary!$A$14*27150/$N123/60</f>
        <v>8.752289851641414</v>
      </c>
      <c r="S123" s="84">
        <f t="shared" si="34"/>
        <v>600</v>
      </c>
    </row>
    <row r="124" spans="2:19" ht="11.25">
      <c r="B124" s="22" t="s">
        <v>24</v>
      </c>
      <c r="C124" s="27">
        <f>SUM(C115:C123)</f>
        <v>150.41214416896236</v>
      </c>
      <c r="D124" s="87"/>
      <c r="E124" s="22"/>
      <c r="F124" s="22"/>
      <c r="G124" s="30">
        <f>SUM(G115:G123)</f>
        <v>194998.60119047618</v>
      </c>
      <c r="H124" s="30">
        <f>SUM(H115:H123)</f>
        <v>1458589.5369047623</v>
      </c>
      <c r="I124" s="30"/>
      <c r="J124" s="30"/>
      <c r="K124" s="30">
        <f>SUM(K115:K123)</f>
        <v>77999.44047619046</v>
      </c>
      <c r="L124" s="30">
        <f>SUM(L115:L123)</f>
        <v>583435.8147619048</v>
      </c>
      <c r="M124" s="54">
        <f>+C124*Summary!$A$14*27152.4/7*Summary!$A$10/12</f>
        <v>802224.2452976191</v>
      </c>
      <c r="N124" s="49">
        <f>SUM(N115:N123)</f>
        <v>10891</v>
      </c>
      <c r="O124" s="54"/>
      <c r="P124" s="21"/>
      <c r="Q124" s="44">
        <f>+$C124*Summary!$A$14*27150/$N124/60</f>
        <v>10.311400894330319</v>
      </c>
      <c r="R124" s="43" t="s">
        <v>177</v>
      </c>
      <c r="S124" s="86">
        <f>SUM(S115:S123)</f>
        <v>6045.5</v>
      </c>
    </row>
    <row r="125" spans="2:19" ht="11.25">
      <c r="B125" s="49" t="s">
        <v>133</v>
      </c>
      <c r="C125" s="22">
        <v>181.8</v>
      </c>
      <c r="N125" s="13" t="s">
        <v>174</v>
      </c>
      <c r="Q125" s="44">
        <f>+Q124*N124</f>
        <v>112301.46714015151</v>
      </c>
      <c r="R125" s="43"/>
      <c r="S125" s="84">
        <f>+S124/N124</f>
        <v>0.5550913598383986</v>
      </c>
    </row>
    <row r="126" spans="2:17" ht="11.25">
      <c r="B126" s="49" t="s">
        <v>134</v>
      </c>
      <c r="C126" s="89">
        <f>C124/C125</f>
        <v>0.8273495278820812</v>
      </c>
      <c r="N126" s="13" t="s">
        <v>176</v>
      </c>
      <c r="Q126" s="44">
        <f>+Q125/Summary!$A$15</f>
        <v>2807.5366785037877</v>
      </c>
    </row>
    <row r="128" spans="2:5" ht="11.25">
      <c r="B128" t="s">
        <v>158</v>
      </c>
      <c r="D128" s="3">
        <f>C24+C38+C52+C68+C84+C105+C124</f>
        <v>1326.496854912764</v>
      </c>
      <c r="E128" t="s">
        <v>93</v>
      </c>
    </row>
    <row r="129" spans="2:10" ht="11.25">
      <c r="B129" t="s">
        <v>159</v>
      </c>
      <c r="D129">
        <f>C25+C39+C53+C69+C85+C106+C125</f>
        <v>1721.3999999999999</v>
      </c>
      <c r="E129" t="s">
        <v>93</v>
      </c>
      <c r="H129" s="14"/>
      <c r="I129" t="s">
        <v>160</v>
      </c>
      <c r="J129" t="s">
        <v>161</v>
      </c>
    </row>
    <row r="130" spans="2:11" ht="11.25">
      <c r="B130" t="s">
        <v>134</v>
      </c>
      <c r="D130" s="56">
        <f>D128/D129</f>
        <v>0.7705918757480912</v>
      </c>
      <c r="I130">
        <v>1</v>
      </c>
      <c r="J130">
        <f>N24</f>
        <v>19044</v>
      </c>
      <c r="K130">
        <f>IF(J130&lt;$J$139,(J130/$J$139),1)</f>
        <v>1</v>
      </c>
    </row>
    <row r="131" spans="9:11" ht="11.25">
      <c r="I131">
        <v>2</v>
      </c>
      <c r="J131">
        <f>N38</f>
        <v>3900</v>
      </c>
      <c r="K131" s="2">
        <f aca="true" t="shared" si="42" ref="K131:K136">IF(J131&lt;$J$139,(J131/$J$139),1)</f>
        <v>0.37142857142857144</v>
      </c>
    </row>
    <row r="132" spans="9:11" ht="11.25">
      <c r="I132">
        <v>3</v>
      </c>
      <c r="J132">
        <f>N52</f>
        <v>3302</v>
      </c>
      <c r="K132" s="2">
        <f t="shared" si="42"/>
        <v>0.31447619047619046</v>
      </c>
    </row>
    <row r="133" spans="2:11" ht="11.25">
      <c r="B133" s="11" t="s">
        <v>162</v>
      </c>
      <c r="C133" s="57">
        <f>C18+C19+C34+C35+C49+C100+C101</f>
        <v>491.2254820936639</v>
      </c>
      <c r="I133">
        <v>4</v>
      </c>
      <c r="J133">
        <f>N68</f>
        <v>5959</v>
      </c>
      <c r="K133" s="2">
        <f t="shared" si="42"/>
        <v>0.5675238095238095</v>
      </c>
    </row>
    <row r="134" spans="2:11" ht="11.25">
      <c r="B134" s="11" t="s">
        <v>163</v>
      </c>
      <c r="C134" s="57">
        <f>C20+C21+C22+C23+C36+C37+C50+C51+C64+C65+C66+C67+C80+C81+C82+C83+C102+C103+C104+C117+C118+C119+C120+C122+C123</f>
        <v>418.48191000918285</v>
      </c>
      <c r="I134">
        <v>5</v>
      </c>
      <c r="J134">
        <f>N84</f>
        <v>6894</v>
      </c>
      <c r="K134" s="2">
        <f t="shared" si="42"/>
        <v>0.6565714285714286</v>
      </c>
    </row>
    <row r="135" spans="2:11" ht="11.25">
      <c r="B135" s="11" t="s">
        <v>164</v>
      </c>
      <c r="C135" s="57">
        <f>D128-C133-C134</f>
        <v>416.7894628099173</v>
      </c>
      <c r="D135" s="3">
        <f>C134+C135</f>
        <v>835.2713728191002</v>
      </c>
      <c r="I135">
        <v>6</v>
      </c>
      <c r="J135">
        <f>N105</f>
        <v>11592</v>
      </c>
      <c r="K135">
        <f t="shared" si="42"/>
        <v>1</v>
      </c>
    </row>
    <row r="136" spans="9:11" ht="11.25">
      <c r="I136">
        <v>7</v>
      </c>
      <c r="J136">
        <f>N124</f>
        <v>10891</v>
      </c>
      <c r="K136">
        <f t="shared" si="42"/>
        <v>1</v>
      </c>
    </row>
    <row r="137" spans="9:10" ht="11.25">
      <c r="I137" t="s">
        <v>24</v>
      </c>
      <c r="J137">
        <f>SUM(J130:J136)</f>
        <v>61582</v>
      </c>
    </row>
    <row r="138" ht="11.25">
      <c r="E138">
        <v>118</v>
      </c>
    </row>
    <row r="139" spans="5:10" ht="11.25">
      <c r="E139">
        <v>137</v>
      </c>
      <c r="I139" s="11" t="s">
        <v>165</v>
      </c>
      <c r="J139">
        <f>10500</f>
        <v>10500</v>
      </c>
    </row>
    <row r="140" spans="5:6" ht="11.25">
      <c r="E140">
        <v>156</v>
      </c>
      <c r="F140">
        <v>4</v>
      </c>
    </row>
    <row r="141" ht="11.25">
      <c r="E141">
        <v>175</v>
      </c>
    </row>
    <row r="142" ht="11.25">
      <c r="E142">
        <v>194</v>
      </c>
    </row>
    <row r="143" ht="11.25">
      <c r="G143">
        <f>G144-15-((F138*E138)+(F139*E139)+(F140*E140)+(F141*E141)+(F142*E142)+(F145*E145)+(F146*E146)+(F147*E147)+(F148*E148)+(F149*E149)+(F150*E150))</f>
        <v>14</v>
      </c>
    </row>
    <row r="144" ht="11.25">
      <c r="G144">
        <f>1370/2</f>
        <v>685</v>
      </c>
    </row>
    <row r="145" ht="11.25">
      <c r="E145">
        <v>13</v>
      </c>
    </row>
    <row r="146" spans="5:6" ht="11.25">
      <c r="E146">
        <v>23</v>
      </c>
      <c r="F146">
        <v>0</v>
      </c>
    </row>
    <row r="147" spans="5:6" ht="11.25">
      <c r="E147">
        <v>32</v>
      </c>
      <c r="F147">
        <v>1</v>
      </c>
    </row>
    <row r="148" ht="11.25">
      <c r="E148">
        <v>42</v>
      </c>
    </row>
    <row r="149" ht="11.25">
      <c r="E149">
        <v>51</v>
      </c>
    </row>
    <row r="150" ht="11.25">
      <c r="E150">
        <v>61</v>
      </c>
    </row>
    <row r="153" spans="2:6" ht="11.25">
      <c r="B153" s="58" t="s">
        <v>166</v>
      </c>
      <c r="C153" s="59"/>
      <c r="D153" s="60"/>
      <c r="E153" s="60"/>
      <c r="F153" s="61"/>
    </row>
    <row r="154" spans="2:6" ht="11.25">
      <c r="B154" s="62"/>
      <c r="C154" s="26"/>
      <c r="D154" s="25"/>
      <c r="E154" s="25"/>
      <c r="F154" s="63"/>
    </row>
    <row r="155" spans="2:6" ht="11.25">
      <c r="B155" s="62" t="s">
        <v>167</v>
      </c>
      <c r="C155" s="26"/>
      <c r="D155" s="25"/>
      <c r="E155" s="25"/>
      <c r="F155" s="63"/>
    </row>
    <row r="156" spans="2:6" ht="11.25">
      <c r="B156" s="45" t="s">
        <v>168</v>
      </c>
      <c r="C156" s="26" t="s">
        <v>169</v>
      </c>
      <c r="D156" s="26" t="s">
        <v>170</v>
      </c>
      <c r="E156" s="26" t="s">
        <v>171</v>
      </c>
      <c r="F156" s="63"/>
    </row>
    <row r="157" spans="2:6" ht="11.25">
      <c r="B157" s="45">
        <v>200</v>
      </c>
      <c r="C157" s="26">
        <v>100</v>
      </c>
      <c r="D157" s="64">
        <f>3.14159*((B157/2)^2)</f>
        <v>31415.899999999998</v>
      </c>
      <c r="E157" s="65">
        <f>(C157*60*12)/(7.48*D157)</f>
        <v>0.306394801651325</v>
      </c>
      <c r="F157" s="63"/>
    </row>
    <row r="158" spans="2:6" ht="11.25">
      <c r="B158" s="66">
        <v>191</v>
      </c>
      <c r="C158" s="67">
        <v>47</v>
      </c>
      <c r="D158" s="68">
        <f>3.14159*((B158/2)^2)</f>
        <v>28652.0861975</v>
      </c>
      <c r="E158" s="69">
        <f>(C158*60*12)/(7.48*D158)</f>
        <v>0.15789650149515938</v>
      </c>
      <c r="F158" s="63" t="s">
        <v>172</v>
      </c>
    </row>
    <row r="159" spans="2:6" ht="11.25">
      <c r="B159" s="70">
        <v>262</v>
      </c>
      <c r="C159" s="71">
        <v>152</v>
      </c>
      <c r="D159" s="72">
        <f>3.14159*((B159/2)^2)</f>
        <v>53912.82599</v>
      </c>
      <c r="E159" s="73">
        <f>(C159*60*12)/(7.48*D159)</f>
        <v>0.27138284395432316</v>
      </c>
      <c r="F159" s="74"/>
    </row>
  </sheetData>
  <printOptions/>
  <pageMargins left="0.75" right="0.75" top="1" bottom="1" header="0.5" footer="0.5"/>
  <pageSetup horizontalDpi="600" verticalDpi="600" orientation="portrait" r:id="rId1"/>
  <rowBreaks count="2" manualBreakCount="2">
    <brk id="56" max="15" man="1"/>
    <brk id="110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C17" sqref="C17"/>
    </sheetView>
  </sheetViews>
  <sheetFormatPr defaultColWidth="10.83203125" defaultRowHeight="11.25"/>
  <cols>
    <col min="2" max="2" width="10.83203125" style="0" hidden="1" customWidth="1"/>
  </cols>
  <sheetData>
    <row r="1" spans="1:10" ht="11.25">
      <c r="A1" t="s">
        <v>25</v>
      </c>
      <c r="G1" t="s">
        <v>27</v>
      </c>
      <c r="J1" s="14">
        <f>+Summary!L16</f>
        <v>21</v>
      </c>
    </row>
    <row r="2" spans="7:10" ht="11.25">
      <c r="G2" t="s">
        <v>26</v>
      </c>
      <c r="J2">
        <v>10</v>
      </c>
    </row>
    <row r="3" spans="7:10" ht="11.25">
      <c r="G3" s="8" t="s">
        <v>28</v>
      </c>
      <c r="H3" s="4"/>
      <c r="J3">
        <v>45</v>
      </c>
    </row>
    <row r="4" spans="3:10" ht="11.25">
      <c r="C4" t="s">
        <v>0</v>
      </c>
      <c r="G4" s="10" t="s">
        <v>29</v>
      </c>
      <c r="H4" s="6"/>
      <c r="I4" s="6"/>
      <c r="J4" s="11">
        <f>J3-J1+J2</f>
        <v>34</v>
      </c>
    </row>
    <row r="5" spans="3:10" ht="11.25">
      <c r="C5" s="2">
        <v>11922</v>
      </c>
      <c r="D5" s="1" t="s">
        <v>1</v>
      </c>
      <c r="G5" s="8" t="s">
        <v>30</v>
      </c>
      <c r="J5" s="2">
        <f>E20</f>
        <v>94.2675114580714</v>
      </c>
    </row>
    <row r="6" spans="3:10" ht="11.25">
      <c r="C6" s="2">
        <f>+E20</f>
        <v>94.2675114580714</v>
      </c>
      <c r="D6" s="1" t="s">
        <v>2</v>
      </c>
      <c r="G6" s="8" t="s">
        <v>31</v>
      </c>
      <c r="J6" s="2">
        <f>J4+J5</f>
        <v>128.2675114580714</v>
      </c>
    </row>
    <row r="8" ht="11.25">
      <c r="C8" t="s">
        <v>3</v>
      </c>
    </row>
    <row r="9" spans="3:4" ht="11.25">
      <c r="C9">
        <v>0</v>
      </c>
      <c r="D9" s="1" t="s">
        <v>4</v>
      </c>
    </row>
    <row r="10" spans="3:4" ht="11.25">
      <c r="C10">
        <v>20</v>
      </c>
      <c r="D10" s="1" t="s">
        <v>5</v>
      </c>
    </row>
    <row r="12" spans="1:4" ht="11.25">
      <c r="A12" t="s">
        <v>6</v>
      </c>
      <c r="C12" s="6" t="s">
        <v>7</v>
      </c>
      <c r="D12" s="6" t="s">
        <v>7</v>
      </c>
    </row>
    <row r="13" spans="3:4" ht="11.25">
      <c r="C13" s="6">
        <v>1</v>
      </c>
      <c r="D13" s="6">
        <v>2</v>
      </c>
    </row>
    <row r="14" spans="1:4" ht="11.25">
      <c r="A14" t="s">
        <v>8</v>
      </c>
      <c r="C14" s="7">
        <f>VLOOKUP(C13,Segment,3,FALSE)</f>
        <v>24</v>
      </c>
      <c r="D14" s="7">
        <f>VLOOKUP(D13,Segment,3,FALSE)</f>
        <v>24</v>
      </c>
    </row>
    <row r="15" spans="1:6" ht="11.25">
      <c r="A15" t="s">
        <v>9</v>
      </c>
      <c r="C15" s="4">
        <f>+C41</f>
        <v>240</v>
      </c>
      <c r="D15" s="4">
        <f>+D41</f>
        <v>11100</v>
      </c>
      <c r="E15" s="4"/>
      <c r="F15" s="4"/>
    </row>
    <row r="16" spans="1:13" ht="11.25">
      <c r="A16" t="s">
        <v>10</v>
      </c>
      <c r="C16">
        <v>110</v>
      </c>
      <c r="D16">
        <v>110</v>
      </c>
      <c r="K16" s="6"/>
      <c r="L16" s="6"/>
      <c r="M16" s="6"/>
    </row>
    <row r="17" spans="1:14" s="4" customFormat="1" ht="11.25">
      <c r="A17" s="4" t="s">
        <v>11</v>
      </c>
      <c r="C17" s="17">
        <f>VLOOKUP(C13,Segment,2,FALSE)</f>
        <v>24759.892857481056</v>
      </c>
      <c r="D17" s="17">
        <f>VLOOKUP(D13,Segment,2,FALSE)</f>
        <v>9415.997940340907</v>
      </c>
      <c r="H17" s="12"/>
      <c r="I17" s="12"/>
      <c r="J17" s="12"/>
      <c r="K17" s="12"/>
      <c r="L17" s="12"/>
      <c r="M17" s="12"/>
      <c r="N17" s="12"/>
    </row>
    <row r="18" spans="7:14" ht="11.25">
      <c r="G18" s="8"/>
      <c r="H18" s="8"/>
      <c r="I18" s="8"/>
      <c r="J18" s="8"/>
      <c r="K18" s="8"/>
      <c r="L18" s="8"/>
      <c r="M18" s="8"/>
      <c r="N18" s="8"/>
    </row>
    <row r="19" spans="3:14" ht="11.25">
      <c r="C19" t="s">
        <v>12</v>
      </c>
      <c r="D19" t="s">
        <v>12</v>
      </c>
      <c r="E19" t="s">
        <v>24</v>
      </c>
      <c r="G19" s="8"/>
      <c r="H19" s="8"/>
      <c r="I19" s="8"/>
      <c r="J19" s="8"/>
      <c r="K19" s="8"/>
      <c r="L19" s="8"/>
      <c r="M19" s="8"/>
      <c r="N19" s="8"/>
    </row>
    <row r="20" spans="1:13" ht="11.25">
      <c r="A20" s="2"/>
      <c r="C20" s="5">
        <f>(4.73*C$15*(C$17*0.002228)^1.852)/(C$16^1.852*(C$14/12)^4.87)</f>
        <v>10.813310692860405</v>
      </c>
      <c r="D20" s="5">
        <f>(4.73*D$15*(D$17*0.002228)^1.852)/(D$16^1.852*(D$14/12)^4.87)</f>
        <v>83.45420076521098</v>
      </c>
      <c r="E20" s="2">
        <f>C20+D20</f>
        <v>94.2675114580714</v>
      </c>
      <c r="G20" s="9"/>
      <c r="H20" s="9"/>
      <c r="I20" s="9"/>
      <c r="J20" s="9"/>
      <c r="K20" s="9"/>
      <c r="L20" s="9"/>
      <c r="M20" s="9"/>
    </row>
    <row r="21" spans="7:13" ht="11.25">
      <c r="G21" s="8"/>
      <c r="H21" s="8"/>
      <c r="I21" s="8"/>
      <c r="J21" s="8"/>
      <c r="K21" s="8"/>
      <c r="L21" s="8"/>
      <c r="M21" s="8"/>
    </row>
    <row r="22" spans="1:13" ht="11.25">
      <c r="A22" t="s">
        <v>13</v>
      </c>
      <c r="G22" s="9"/>
      <c r="H22" s="9"/>
      <c r="I22" s="9"/>
      <c r="J22" s="9"/>
      <c r="K22" s="9"/>
      <c r="L22" s="9"/>
      <c r="M22" s="9"/>
    </row>
    <row r="23" spans="1:4" ht="11.25">
      <c r="A23" t="s">
        <v>14</v>
      </c>
      <c r="B23" t="s">
        <v>15</v>
      </c>
      <c r="C23" s="7">
        <v>120</v>
      </c>
      <c r="D23" s="7">
        <v>11000</v>
      </c>
    </row>
    <row r="24" spans="1:4" ht="11.25">
      <c r="A24" t="s">
        <v>16</v>
      </c>
      <c r="B24">
        <v>30</v>
      </c>
      <c r="C24" s="7">
        <v>0</v>
      </c>
      <c r="D24" s="7">
        <v>1</v>
      </c>
    </row>
    <row r="25" spans="1:4" ht="11.25">
      <c r="A25" t="s">
        <v>17</v>
      </c>
      <c r="B25">
        <v>14</v>
      </c>
      <c r="C25" s="7"/>
      <c r="D25" s="7"/>
    </row>
    <row r="26" spans="1:4" ht="11.25">
      <c r="A26" t="s">
        <v>18</v>
      </c>
      <c r="B26">
        <v>20</v>
      </c>
      <c r="C26" s="7">
        <v>0</v>
      </c>
      <c r="D26" s="7"/>
    </row>
    <row r="27" spans="1:4" ht="11.25">
      <c r="A27" t="s">
        <v>19</v>
      </c>
      <c r="B27">
        <v>60</v>
      </c>
      <c r="C27" s="7">
        <v>1</v>
      </c>
      <c r="D27" s="7"/>
    </row>
    <row r="28" spans="1:4" ht="11.25">
      <c r="A28" t="s">
        <v>20</v>
      </c>
      <c r="B28">
        <v>18</v>
      </c>
      <c r="C28" s="7"/>
      <c r="D28" s="7"/>
    </row>
    <row r="29" spans="1:4" ht="11.25">
      <c r="A29" t="s">
        <v>21</v>
      </c>
      <c r="B29">
        <v>50</v>
      </c>
      <c r="C29" s="7"/>
      <c r="D29" s="7"/>
    </row>
    <row r="30" spans="1:4" ht="11.25">
      <c r="A30" t="s">
        <v>22</v>
      </c>
      <c r="B30">
        <v>20</v>
      </c>
      <c r="C30" s="7">
        <v>0</v>
      </c>
      <c r="D30" s="7">
        <v>1</v>
      </c>
    </row>
    <row r="32" ht="11.25">
      <c r="A32" t="s">
        <v>23</v>
      </c>
    </row>
    <row r="33" spans="1:8" ht="11.25">
      <c r="A33" t="s">
        <v>14</v>
      </c>
      <c r="C33" s="3">
        <f>+C23</f>
        <v>120</v>
      </c>
      <c r="D33" s="3">
        <f>+D23</f>
        <v>11000</v>
      </c>
      <c r="E33" s="3"/>
      <c r="F33" s="3"/>
      <c r="G33" s="3"/>
      <c r="H33" s="3"/>
    </row>
    <row r="34" spans="1:8" ht="11.25">
      <c r="A34" t="s">
        <v>16</v>
      </c>
      <c r="C34" s="3">
        <f aca="true" t="shared" si="0" ref="C34:C40">C24*$B24*(C$14/12)</f>
        <v>0</v>
      </c>
      <c r="D34" s="3">
        <f>D24*$B24*(D$14/12)</f>
        <v>60</v>
      </c>
      <c r="E34" s="3"/>
      <c r="F34" s="3"/>
      <c r="G34" s="3"/>
      <c r="H34" s="3"/>
    </row>
    <row r="35" spans="1:8" ht="11.25">
      <c r="A35" t="s">
        <v>17</v>
      </c>
      <c r="C35" s="3">
        <f t="shared" si="0"/>
        <v>0</v>
      </c>
      <c r="D35" s="3">
        <f aca="true" t="shared" si="1" ref="D35:D40">D25*$B25*(D$14/12)</f>
        <v>0</v>
      </c>
      <c r="E35" s="3"/>
      <c r="F35" s="3"/>
      <c r="G35" s="3"/>
      <c r="H35" s="3"/>
    </row>
    <row r="36" spans="1:8" ht="11.25">
      <c r="A36" t="s">
        <v>18</v>
      </c>
      <c r="C36" s="3">
        <f t="shared" si="0"/>
        <v>0</v>
      </c>
      <c r="D36" s="3">
        <f t="shared" si="1"/>
        <v>0</v>
      </c>
      <c r="E36" s="3"/>
      <c r="F36" s="3"/>
      <c r="G36" s="3"/>
      <c r="H36" s="3"/>
    </row>
    <row r="37" spans="1:8" ht="10.5" customHeight="1">
      <c r="A37" t="s">
        <v>19</v>
      </c>
      <c r="C37" s="3">
        <f t="shared" si="0"/>
        <v>120</v>
      </c>
      <c r="D37" s="3">
        <f t="shared" si="1"/>
        <v>0</v>
      </c>
      <c r="E37" s="3"/>
      <c r="F37" s="3"/>
      <c r="G37" s="3"/>
      <c r="H37" s="3"/>
    </row>
    <row r="38" spans="1:8" ht="11.25">
      <c r="A38" t="s">
        <v>20</v>
      </c>
      <c r="C38" s="3">
        <f t="shared" si="0"/>
        <v>0</v>
      </c>
      <c r="D38" s="3">
        <f t="shared" si="1"/>
        <v>0</v>
      </c>
      <c r="E38" s="3"/>
      <c r="F38" s="3"/>
      <c r="G38" s="3"/>
      <c r="H38" s="3"/>
    </row>
    <row r="39" spans="1:8" ht="11.25">
      <c r="A39" t="s">
        <v>21</v>
      </c>
      <c r="C39" s="3">
        <f t="shared" si="0"/>
        <v>0</v>
      </c>
      <c r="D39" s="3">
        <f t="shared" si="1"/>
        <v>0</v>
      </c>
      <c r="E39" s="3"/>
      <c r="F39" s="3"/>
      <c r="G39" s="3"/>
      <c r="H39" s="3"/>
    </row>
    <row r="40" spans="1:8" ht="11.25">
      <c r="A40" t="s">
        <v>22</v>
      </c>
      <c r="C40" s="3">
        <f t="shared" si="0"/>
        <v>0</v>
      </c>
      <c r="D40" s="3">
        <f t="shared" si="1"/>
        <v>40</v>
      </c>
      <c r="E40" s="3"/>
      <c r="F40" s="3"/>
      <c r="G40" s="3"/>
      <c r="H40" s="3"/>
    </row>
    <row r="41" spans="1:8" ht="11.25">
      <c r="A41" t="s">
        <v>24</v>
      </c>
      <c r="C41" s="3">
        <f>SUM(C33:C40)</f>
        <v>240</v>
      </c>
      <c r="D41" s="3">
        <f>SUM(D33:D40)</f>
        <v>11100</v>
      </c>
      <c r="E41" s="3"/>
      <c r="F41" s="3"/>
      <c r="G41" s="3"/>
      <c r="H41" s="3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&amp;CONSITE SEWAGE DISPOSAL SYSTEM CALCULATIONS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7" sqref="A17"/>
    </sheetView>
  </sheetViews>
  <sheetFormatPr defaultColWidth="10.83203125" defaultRowHeight="11.25"/>
  <cols>
    <col min="2" max="2" width="10.83203125" style="0" hidden="1" customWidth="1"/>
  </cols>
  <sheetData>
    <row r="1" spans="1:10" ht="11.25">
      <c r="A1" t="s">
        <v>25</v>
      </c>
      <c r="G1" t="s">
        <v>27</v>
      </c>
      <c r="J1" s="14">
        <f>+Summary!L16</f>
        <v>21</v>
      </c>
    </row>
    <row r="2" spans="7:10" ht="11.25">
      <c r="G2" t="s">
        <v>26</v>
      </c>
      <c r="J2">
        <v>10</v>
      </c>
    </row>
    <row r="3" spans="7:10" ht="11.25">
      <c r="G3" t="s">
        <v>28</v>
      </c>
      <c r="J3">
        <v>34</v>
      </c>
    </row>
    <row r="4" spans="3:10" ht="11.25">
      <c r="C4" t="s">
        <v>0</v>
      </c>
      <c r="G4" s="10" t="s">
        <v>29</v>
      </c>
      <c r="H4" s="10"/>
      <c r="I4" s="6"/>
      <c r="J4" s="11">
        <f>J3+J2-J1</f>
        <v>23</v>
      </c>
    </row>
    <row r="5" spans="3:10" ht="11.25">
      <c r="C5" s="2">
        <v>6046</v>
      </c>
      <c r="D5" s="1" t="s">
        <v>1</v>
      </c>
      <c r="G5" t="s">
        <v>30</v>
      </c>
      <c r="J5" s="2">
        <f>G20</f>
        <v>175.63581924949278</v>
      </c>
    </row>
    <row r="6" spans="3:10" ht="11.25">
      <c r="C6" s="2">
        <f>+G20</f>
        <v>175.63581924949278</v>
      </c>
      <c r="D6" s="1" t="s">
        <v>2</v>
      </c>
      <c r="G6" t="s">
        <v>31</v>
      </c>
      <c r="J6" s="2">
        <f>J4+J5</f>
        <v>198.63581924949278</v>
      </c>
    </row>
    <row r="8" ht="11.25">
      <c r="C8" t="s">
        <v>3</v>
      </c>
    </row>
    <row r="9" spans="3:4" ht="11.25">
      <c r="C9">
        <v>0</v>
      </c>
      <c r="D9" s="1" t="s">
        <v>4</v>
      </c>
    </row>
    <row r="10" spans="3:4" ht="11.25">
      <c r="C10">
        <v>20</v>
      </c>
      <c r="D10" s="1" t="s">
        <v>5</v>
      </c>
    </row>
    <row r="12" spans="1:6" ht="11.25">
      <c r="A12" t="s">
        <v>6</v>
      </c>
      <c r="C12" s="6" t="s">
        <v>7</v>
      </c>
      <c r="D12" s="6" t="s">
        <v>7</v>
      </c>
      <c r="E12" s="6" t="s">
        <v>7</v>
      </c>
      <c r="F12" s="6" t="s">
        <v>7</v>
      </c>
    </row>
    <row r="13" spans="3:6" ht="11.25">
      <c r="C13" s="6">
        <v>1</v>
      </c>
      <c r="D13" s="6">
        <v>3</v>
      </c>
      <c r="E13" s="6">
        <v>8</v>
      </c>
      <c r="F13" s="6">
        <v>9</v>
      </c>
    </row>
    <row r="14" spans="1:6" ht="11.25">
      <c r="A14" t="s">
        <v>8</v>
      </c>
      <c r="C14" s="7">
        <f>VLOOKUP(C13,Segment,3,FALSE)</f>
        <v>24</v>
      </c>
      <c r="D14" s="7">
        <f>VLOOKUP(D13,Segment,3,FALSE)</f>
        <v>24</v>
      </c>
      <c r="E14" s="7">
        <f>VLOOKUP(E13,Segment,3,FALSE)</f>
        <v>24</v>
      </c>
      <c r="F14" s="7">
        <f>VLOOKUP(F13,Segment,3,FALSE)</f>
        <v>16</v>
      </c>
    </row>
    <row r="15" spans="1:8" ht="11.25">
      <c r="A15" t="s">
        <v>9</v>
      </c>
      <c r="C15" s="4">
        <f>+C41</f>
        <v>240</v>
      </c>
      <c r="D15" s="4">
        <f>+D41</f>
        <v>4440</v>
      </c>
      <c r="E15" s="4">
        <f>+E41</f>
        <v>11416</v>
      </c>
      <c r="F15" s="4">
        <f>+F41</f>
        <v>2200</v>
      </c>
      <c r="G15" s="4"/>
      <c r="H15" s="4"/>
    </row>
    <row r="16" spans="1:6" ht="11.25">
      <c r="A16" t="s">
        <v>10</v>
      </c>
      <c r="C16">
        <v>110</v>
      </c>
      <c r="D16">
        <v>110</v>
      </c>
      <c r="E16">
        <v>110</v>
      </c>
      <c r="F16">
        <v>110</v>
      </c>
    </row>
    <row r="17" spans="1:6" s="4" customFormat="1" ht="11.25">
      <c r="A17" t="s">
        <v>11</v>
      </c>
      <c r="C17" s="17">
        <f>VLOOKUP(C13,Segment,2,FALSE)</f>
        <v>24759.892857481056</v>
      </c>
      <c r="D17" s="17">
        <f>VLOOKUP(D13,Segment,2,FALSE)</f>
        <v>15343.894917140151</v>
      </c>
      <c r="E17" s="17">
        <f>VLOOKUP(E13,Segment,2,FALSE)</f>
        <v>8414.17065340909</v>
      </c>
      <c r="F17" s="17">
        <f>VLOOKUP(F13,Segment,2,FALSE)</f>
        <v>2807.5366785037877</v>
      </c>
    </row>
    <row r="19" spans="3:7" ht="11.25">
      <c r="C19" t="s">
        <v>12</v>
      </c>
      <c r="D19" t="s">
        <v>12</v>
      </c>
      <c r="E19" t="s">
        <v>12</v>
      </c>
      <c r="F19" t="s">
        <v>12</v>
      </c>
      <c r="G19" t="s">
        <v>24</v>
      </c>
    </row>
    <row r="20" spans="1:7" ht="11.25">
      <c r="A20" s="2"/>
      <c r="C20" s="5">
        <f>(4.73*C$15*(C$17*0.002228)^1.852)/(C$16^1.852*(C$14/12)^4.87)</f>
        <v>10.813310692860405</v>
      </c>
      <c r="D20" s="5">
        <f>(4.73*D$15*(D$17*0.002228)^1.852)/(D$16^1.852*(D$14/12)^4.87)</f>
        <v>82.46325332032994</v>
      </c>
      <c r="E20" s="5">
        <f>(4.73*E$15*(E$17*0.002228)^1.852)/(E$16^1.852*(E$14/12)^4.87)</f>
        <v>69.68826491206418</v>
      </c>
      <c r="F20" s="5">
        <f>(4.73*F$15*(F$17*0.002228)^1.852)/(F$16^1.852*(F$14/12)^4.87)</f>
        <v>12.670990324238225</v>
      </c>
      <c r="G20" s="2">
        <f>SUM(C20:F20)</f>
        <v>175.63581924949278</v>
      </c>
    </row>
    <row r="22" ht="11.25">
      <c r="A22" t="s">
        <v>13</v>
      </c>
    </row>
    <row r="23" spans="1:6" ht="11.25">
      <c r="A23" t="s">
        <v>14</v>
      </c>
      <c r="B23" t="s">
        <v>15</v>
      </c>
      <c r="C23" s="7">
        <v>120</v>
      </c>
      <c r="D23" s="7">
        <v>4400</v>
      </c>
      <c r="E23" s="7">
        <v>11300</v>
      </c>
      <c r="F23" s="7">
        <v>2200</v>
      </c>
    </row>
    <row r="24" spans="1:6" ht="11.25">
      <c r="A24" t="s">
        <v>16</v>
      </c>
      <c r="B24">
        <v>30</v>
      </c>
      <c r="C24" s="7">
        <v>0</v>
      </c>
      <c r="D24" s="7">
        <v>0</v>
      </c>
      <c r="E24" s="7">
        <v>1</v>
      </c>
      <c r="F24" s="7"/>
    </row>
    <row r="25" spans="1:6" ht="11.25">
      <c r="A25" t="s">
        <v>17</v>
      </c>
      <c r="B25">
        <v>14</v>
      </c>
      <c r="C25" s="7"/>
      <c r="D25" s="7">
        <v>0</v>
      </c>
      <c r="E25" s="7">
        <v>2</v>
      </c>
      <c r="F25" s="7"/>
    </row>
    <row r="26" spans="1:6" ht="11.25">
      <c r="A26" t="s">
        <v>18</v>
      </c>
      <c r="B26">
        <v>20</v>
      </c>
      <c r="C26" s="7">
        <v>0</v>
      </c>
      <c r="D26" s="7"/>
      <c r="E26" s="7"/>
      <c r="F26" s="7"/>
    </row>
    <row r="27" spans="1:6" ht="11.25">
      <c r="A27" t="s">
        <v>19</v>
      </c>
      <c r="B27">
        <v>60</v>
      </c>
      <c r="C27" s="7">
        <v>1</v>
      </c>
      <c r="D27" s="7"/>
      <c r="E27" s="7"/>
      <c r="F27" s="7"/>
    </row>
    <row r="28" spans="1:6" ht="11.25">
      <c r="A28" t="s">
        <v>20</v>
      </c>
      <c r="B28">
        <v>18</v>
      </c>
      <c r="C28" s="7"/>
      <c r="D28" s="7"/>
      <c r="E28" s="7"/>
      <c r="F28" s="7"/>
    </row>
    <row r="29" spans="1:6" ht="11.25">
      <c r="A29" t="s">
        <v>21</v>
      </c>
      <c r="B29">
        <v>50</v>
      </c>
      <c r="C29" s="7"/>
      <c r="D29" s="7"/>
      <c r="E29" s="7"/>
      <c r="F29" s="7"/>
    </row>
    <row r="30" spans="1:6" ht="11.25">
      <c r="A30" t="s">
        <v>22</v>
      </c>
      <c r="B30">
        <v>20</v>
      </c>
      <c r="C30" s="7">
        <v>0</v>
      </c>
      <c r="D30" s="7">
        <v>1</v>
      </c>
      <c r="E30" s="7"/>
      <c r="F30" s="7"/>
    </row>
    <row r="32" ht="11.25">
      <c r="A32" t="s">
        <v>23</v>
      </c>
    </row>
    <row r="33" spans="1:10" ht="11.25">
      <c r="A33" t="s">
        <v>14</v>
      </c>
      <c r="C33" s="3">
        <f>+C23</f>
        <v>120</v>
      </c>
      <c r="D33" s="3">
        <f>+D23</f>
        <v>4400</v>
      </c>
      <c r="E33" s="3">
        <f>+E23</f>
        <v>11300</v>
      </c>
      <c r="F33" s="3">
        <f>+F23</f>
        <v>2200</v>
      </c>
      <c r="G33" s="3"/>
      <c r="H33" s="3"/>
      <c r="I33" s="3"/>
      <c r="J33" s="3"/>
    </row>
    <row r="34" spans="1:10" ht="11.25">
      <c r="A34" t="s">
        <v>16</v>
      </c>
      <c r="C34" s="3">
        <f aca="true" t="shared" si="0" ref="C34:F40">C24*$B24*(C$14/12)</f>
        <v>0</v>
      </c>
      <c r="D34" s="3">
        <f t="shared" si="0"/>
        <v>0</v>
      </c>
      <c r="E34" s="3">
        <f t="shared" si="0"/>
        <v>60</v>
      </c>
      <c r="F34" s="3">
        <f t="shared" si="0"/>
        <v>0</v>
      </c>
      <c r="G34" s="3"/>
      <c r="H34" s="3"/>
      <c r="I34" s="3"/>
      <c r="J34" s="3"/>
    </row>
    <row r="35" spans="1:10" ht="11.25">
      <c r="A35" t="s">
        <v>17</v>
      </c>
      <c r="C35" s="3">
        <f t="shared" si="0"/>
        <v>0</v>
      </c>
      <c r="D35" s="3">
        <f t="shared" si="0"/>
        <v>0</v>
      </c>
      <c r="E35" s="3">
        <f t="shared" si="0"/>
        <v>56</v>
      </c>
      <c r="F35" s="3">
        <f t="shared" si="0"/>
        <v>0</v>
      </c>
      <c r="G35" s="3"/>
      <c r="H35" s="3"/>
      <c r="I35" s="3"/>
      <c r="J35" s="3"/>
    </row>
    <row r="36" spans="1:10" ht="11.25">
      <c r="A36" t="s">
        <v>18</v>
      </c>
      <c r="C36" s="3">
        <f t="shared" si="0"/>
        <v>0</v>
      </c>
      <c r="D36" s="3">
        <f t="shared" si="0"/>
        <v>0</v>
      </c>
      <c r="E36" s="3">
        <f t="shared" si="0"/>
        <v>0</v>
      </c>
      <c r="F36" s="3">
        <f t="shared" si="0"/>
        <v>0</v>
      </c>
      <c r="G36" s="3"/>
      <c r="H36" s="3"/>
      <c r="I36" s="3"/>
      <c r="J36" s="3"/>
    </row>
    <row r="37" spans="1:10" ht="10.5" customHeight="1">
      <c r="A37" t="s">
        <v>19</v>
      </c>
      <c r="C37" s="3">
        <f t="shared" si="0"/>
        <v>120</v>
      </c>
      <c r="D37" s="3">
        <f t="shared" si="0"/>
        <v>0</v>
      </c>
      <c r="E37" s="3">
        <f t="shared" si="0"/>
        <v>0</v>
      </c>
      <c r="F37" s="3">
        <f t="shared" si="0"/>
        <v>0</v>
      </c>
      <c r="G37" s="3"/>
      <c r="H37" s="3"/>
      <c r="I37" s="3"/>
      <c r="J37" s="3"/>
    </row>
    <row r="38" spans="1:10" ht="11.25">
      <c r="A38" t="s">
        <v>20</v>
      </c>
      <c r="C38" s="3">
        <f t="shared" si="0"/>
        <v>0</v>
      </c>
      <c r="D38" s="3">
        <f t="shared" si="0"/>
        <v>0</v>
      </c>
      <c r="E38" s="3">
        <f t="shared" si="0"/>
        <v>0</v>
      </c>
      <c r="F38" s="3">
        <f t="shared" si="0"/>
        <v>0</v>
      </c>
      <c r="G38" s="3"/>
      <c r="H38" s="3"/>
      <c r="I38" s="3"/>
      <c r="J38" s="3"/>
    </row>
    <row r="39" spans="1:10" ht="11.25">
      <c r="A39" t="s">
        <v>21</v>
      </c>
      <c r="C39" s="3">
        <f t="shared" si="0"/>
        <v>0</v>
      </c>
      <c r="D39" s="3">
        <f t="shared" si="0"/>
        <v>0</v>
      </c>
      <c r="E39" s="3">
        <f t="shared" si="0"/>
        <v>0</v>
      </c>
      <c r="F39" s="3">
        <f t="shared" si="0"/>
        <v>0</v>
      </c>
      <c r="G39" s="3"/>
      <c r="H39" s="3"/>
      <c r="I39" s="3"/>
      <c r="J39" s="3"/>
    </row>
    <row r="40" spans="1:10" ht="11.25">
      <c r="A40" t="s">
        <v>22</v>
      </c>
      <c r="C40" s="3">
        <f t="shared" si="0"/>
        <v>0</v>
      </c>
      <c r="D40" s="3">
        <f t="shared" si="0"/>
        <v>40</v>
      </c>
      <c r="E40" s="3">
        <f t="shared" si="0"/>
        <v>0</v>
      </c>
      <c r="F40" s="3">
        <f t="shared" si="0"/>
        <v>0</v>
      </c>
      <c r="G40" s="3"/>
      <c r="H40" s="3"/>
      <c r="I40" s="3"/>
      <c r="J40" s="3"/>
    </row>
    <row r="41" spans="1:10" ht="11.25">
      <c r="A41" t="s">
        <v>24</v>
      </c>
      <c r="C41" s="3">
        <f>SUM(C33:C40)</f>
        <v>240</v>
      </c>
      <c r="D41" s="3">
        <f>SUM(D33:D40)</f>
        <v>4440</v>
      </c>
      <c r="E41" s="3">
        <f>SUM(E33:E40)</f>
        <v>11416</v>
      </c>
      <c r="F41" s="3">
        <f>SUM(F33:F40)</f>
        <v>2200</v>
      </c>
      <c r="G41" s="3"/>
      <c r="H41" s="3"/>
      <c r="I41" s="3"/>
      <c r="J41" s="3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&amp;CONSITE SEWAGE DISPOSAL SYSTEM CALCULATIONS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A17" sqref="A17"/>
    </sheetView>
  </sheetViews>
  <sheetFormatPr defaultColWidth="10.83203125" defaultRowHeight="11.25"/>
  <cols>
    <col min="2" max="2" width="10.83203125" style="0" hidden="1" customWidth="1"/>
  </cols>
  <sheetData>
    <row r="1" spans="1:10" ht="11.25">
      <c r="A1" t="s">
        <v>25</v>
      </c>
      <c r="G1" t="s">
        <v>27</v>
      </c>
      <c r="J1" s="14">
        <f>+Summary!L16</f>
        <v>21</v>
      </c>
    </row>
    <row r="2" spans="7:10" ht="11.25">
      <c r="G2" t="s">
        <v>26</v>
      </c>
      <c r="J2">
        <v>10</v>
      </c>
    </row>
    <row r="3" spans="7:10" ht="11.25">
      <c r="G3" s="8" t="s">
        <v>28</v>
      </c>
      <c r="H3" s="4"/>
      <c r="J3">
        <v>38</v>
      </c>
    </row>
    <row r="4" spans="3:10" ht="11.25">
      <c r="C4" t="s">
        <v>0</v>
      </c>
      <c r="G4" s="10" t="s">
        <v>29</v>
      </c>
      <c r="H4" s="6"/>
      <c r="I4" s="6"/>
      <c r="J4" s="11">
        <f>J3-J1+J2</f>
        <v>27</v>
      </c>
    </row>
    <row r="5" spans="3:10" ht="11.25">
      <c r="C5" s="2">
        <v>2076</v>
      </c>
      <c r="D5" s="1" t="s">
        <v>1</v>
      </c>
      <c r="G5" s="8" t="s">
        <v>30</v>
      </c>
      <c r="J5" s="2">
        <f>F20</f>
        <v>129.1723924189097</v>
      </c>
    </row>
    <row r="6" spans="3:10" ht="11.25">
      <c r="C6" s="2">
        <f>+F20</f>
        <v>129.1723924189097</v>
      </c>
      <c r="D6" s="1" t="s">
        <v>2</v>
      </c>
      <c r="G6" s="8" t="s">
        <v>31</v>
      </c>
      <c r="J6" s="2">
        <f>J4+J5</f>
        <v>156.1723924189097</v>
      </c>
    </row>
    <row r="8" ht="11.25">
      <c r="C8" t="s">
        <v>3</v>
      </c>
    </row>
    <row r="9" spans="3:4" ht="11.25">
      <c r="C9">
        <v>0</v>
      </c>
      <c r="D9" s="1" t="s">
        <v>4</v>
      </c>
    </row>
    <row r="10" spans="3:4" ht="11.25">
      <c r="C10">
        <v>20</v>
      </c>
      <c r="D10" s="1" t="s">
        <v>5</v>
      </c>
    </row>
    <row r="12" spans="1:5" ht="11.25">
      <c r="A12" t="s">
        <v>6</v>
      </c>
      <c r="C12" s="6" t="s">
        <v>7</v>
      </c>
      <c r="D12" s="6" t="s">
        <v>7</v>
      </c>
      <c r="E12" s="6" t="s">
        <v>7</v>
      </c>
    </row>
    <row r="13" spans="3:14" ht="11.25">
      <c r="C13" s="6">
        <v>1</v>
      </c>
      <c r="D13" s="6">
        <v>3</v>
      </c>
      <c r="E13" s="6">
        <v>7</v>
      </c>
      <c r="L13" s="8"/>
      <c r="M13" s="8"/>
      <c r="N13" s="8"/>
    </row>
    <row r="14" spans="1:14" ht="11.25">
      <c r="A14" t="s">
        <v>8</v>
      </c>
      <c r="C14" s="7">
        <f>VLOOKUP(C13,Segment,3,FALSE)</f>
        <v>24</v>
      </c>
      <c r="D14" s="7">
        <f>VLOOKUP(D13,Segment,3,FALSE)</f>
        <v>24</v>
      </c>
      <c r="E14" s="7">
        <f>VLOOKUP(E13,Segment,3,FALSE)</f>
        <v>10</v>
      </c>
      <c r="H14" s="8"/>
      <c r="I14" s="8"/>
      <c r="J14" s="8"/>
      <c r="K14" s="8"/>
      <c r="L14" s="8"/>
      <c r="M14" s="8"/>
      <c r="N14" s="8"/>
    </row>
    <row r="15" spans="1:14" ht="11.25">
      <c r="A15" t="s">
        <v>9</v>
      </c>
      <c r="C15" s="4">
        <f>+C41</f>
        <v>240</v>
      </c>
      <c r="D15" s="4">
        <f>+D41</f>
        <v>4440</v>
      </c>
      <c r="E15" s="4">
        <f>+E41</f>
        <v>1250</v>
      </c>
      <c r="F15" s="4"/>
      <c r="G15" s="4"/>
      <c r="H15" s="12"/>
      <c r="I15" s="12"/>
      <c r="J15" s="8"/>
      <c r="K15" s="8"/>
      <c r="L15" s="8"/>
      <c r="M15" s="8"/>
      <c r="N15" s="8"/>
    </row>
    <row r="16" spans="1:14" ht="11.25">
      <c r="A16" t="s">
        <v>10</v>
      </c>
      <c r="C16">
        <v>110</v>
      </c>
      <c r="D16">
        <v>110</v>
      </c>
      <c r="E16">
        <v>110</v>
      </c>
      <c r="H16" s="96"/>
      <c r="I16" s="96"/>
      <c r="J16" s="96"/>
      <c r="K16" s="96"/>
      <c r="L16" s="96"/>
      <c r="M16" s="96"/>
      <c r="N16" s="96"/>
    </row>
    <row r="17" spans="1:14" s="4" customFormat="1" ht="11.25">
      <c r="A17" t="s">
        <v>11</v>
      </c>
      <c r="C17" s="17">
        <f>VLOOKUP(C13,Segment,2,FALSE)</f>
        <v>24759.892857481056</v>
      </c>
      <c r="D17" s="17">
        <f>VLOOKUP(D13,Segment,2,FALSE)</f>
        <v>15343.894917140151</v>
      </c>
      <c r="E17" s="17">
        <f>VLOOKUP(E13,Segment,2,FALSE)</f>
        <v>1942.345108901515</v>
      </c>
      <c r="H17" s="12"/>
      <c r="I17" s="12"/>
      <c r="J17" s="12"/>
      <c r="K17" s="12"/>
      <c r="L17" s="12"/>
      <c r="M17" s="12"/>
      <c r="N17" s="12"/>
    </row>
    <row r="18" spans="8:14" ht="11.25">
      <c r="H18" s="8"/>
      <c r="I18" s="8"/>
      <c r="J18" s="8"/>
      <c r="K18" s="8"/>
      <c r="L18" s="8"/>
      <c r="M18" s="8"/>
      <c r="N18" s="8"/>
    </row>
    <row r="19" spans="3:14" ht="11.25">
      <c r="C19" t="s">
        <v>12</v>
      </c>
      <c r="D19" t="s">
        <v>12</v>
      </c>
      <c r="E19" t="s">
        <v>12</v>
      </c>
      <c r="F19" t="s">
        <v>24</v>
      </c>
      <c r="H19" s="8"/>
      <c r="I19" s="8"/>
      <c r="J19" s="8"/>
      <c r="K19" s="8"/>
      <c r="L19" s="8"/>
      <c r="M19" s="8"/>
      <c r="N19" s="8"/>
    </row>
    <row r="20" spans="1:14" ht="11.25">
      <c r="A20" s="2"/>
      <c r="C20" s="5">
        <f>(4.73*C$15*(C$17*0.002228)^1.852)/(C$16^1.852*(C$14/12)^4.87)</f>
        <v>10.813310692860405</v>
      </c>
      <c r="D20" s="5">
        <f>(4.73*D$15*(D$17*0.002228)^1.852)/(D$16^1.852*(D$14/12)^4.87)</f>
        <v>82.46325332032994</v>
      </c>
      <c r="E20" s="5">
        <f>(4.73*E$15*(E$17*0.002228)^1.852)/(E$16^1.852*(E$14/12)^4.87)</f>
        <v>35.89582840571936</v>
      </c>
      <c r="F20" s="2">
        <f>SUM(C20:E20)</f>
        <v>129.1723924189097</v>
      </c>
      <c r="H20" s="9"/>
      <c r="I20" s="9"/>
      <c r="J20" s="9"/>
      <c r="K20" s="9"/>
      <c r="L20" s="9"/>
      <c r="M20" s="8"/>
      <c r="N20" s="8"/>
    </row>
    <row r="21" spans="8:14" ht="11.25">
      <c r="H21" s="8"/>
      <c r="I21" s="8"/>
      <c r="J21" s="8"/>
      <c r="K21" s="8"/>
      <c r="L21" s="8"/>
      <c r="M21" s="8"/>
      <c r="N21" s="8"/>
    </row>
    <row r="22" spans="1:14" ht="11.25">
      <c r="A22" t="s">
        <v>13</v>
      </c>
      <c r="H22" s="9"/>
      <c r="I22" s="9"/>
      <c r="J22" s="9"/>
      <c r="K22" s="9"/>
      <c r="L22" s="9"/>
      <c r="M22" s="8"/>
      <c r="N22" s="8"/>
    </row>
    <row r="23" spans="1:5" ht="11.25">
      <c r="A23" t="s">
        <v>14</v>
      </c>
      <c r="B23" t="s">
        <v>15</v>
      </c>
      <c r="C23" s="7">
        <v>120</v>
      </c>
      <c r="D23" s="7">
        <v>4400</v>
      </c>
      <c r="E23" s="7">
        <v>1200</v>
      </c>
    </row>
    <row r="24" spans="1:5" ht="11.25">
      <c r="A24" t="s">
        <v>16</v>
      </c>
      <c r="B24">
        <v>30</v>
      </c>
      <c r="C24" s="7">
        <v>0</v>
      </c>
      <c r="D24" s="7">
        <v>0</v>
      </c>
      <c r="E24" s="7"/>
    </row>
    <row r="25" spans="1:5" ht="11.25">
      <c r="A25" t="s">
        <v>17</v>
      </c>
      <c r="B25">
        <v>14</v>
      </c>
      <c r="C25" s="7"/>
      <c r="D25" s="7">
        <v>0</v>
      </c>
      <c r="E25" s="7"/>
    </row>
    <row r="26" spans="1:5" ht="11.25">
      <c r="A26" t="s">
        <v>18</v>
      </c>
      <c r="B26">
        <v>20</v>
      </c>
      <c r="C26" s="7">
        <v>0</v>
      </c>
      <c r="D26" s="7"/>
      <c r="E26" s="7">
        <v>0</v>
      </c>
    </row>
    <row r="27" spans="1:5" ht="11.25">
      <c r="A27" t="s">
        <v>19</v>
      </c>
      <c r="B27">
        <v>60</v>
      </c>
      <c r="C27" s="7">
        <v>1</v>
      </c>
      <c r="D27" s="7"/>
      <c r="E27" s="7">
        <v>1</v>
      </c>
    </row>
    <row r="28" spans="1:5" ht="11.25">
      <c r="A28" t="s">
        <v>20</v>
      </c>
      <c r="B28">
        <v>18</v>
      </c>
      <c r="C28" s="7"/>
      <c r="D28" s="7"/>
      <c r="E28" s="7"/>
    </row>
    <row r="29" spans="1:5" ht="11.25">
      <c r="A29" t="s">
        <v>21</v>
      </c>
      <c r="B29">
        <v>50</v>
      </c>
      <c r="C29" s="7"/>
      <c r="D29" s="7"/>
      <c r="E29" s="7"/>
    </row>
    <row r="30" spans="1:5" ht="11.25">
      <c r="A30" t="s">
        <v>22</v>
      </c>
      <c r="B30">
        <v>20</v>
      </c>
      <c r="C30" s="7">
        <v>0</v>
      </c>
      <c r="D30" s="7">
        <v>1</v>
      </c>
      <c r="E30" s="7"/>
    </row>
    <row r="32" ht="11.25">
      <c r="A32" t="s">
        <v>23</v>
      </c>
    </row>
    <row r="33" spans="1:9" ht="11.25">
      <c r="A33" t="s">
        <v>14</v>
      </c>
      <c r="C33" s="3">
        <f>+C23</f>
        <v>120</v>
      </c>
      <c r="D33" s="3">
        <f>+D23</f>
        <v>4400</v>
      </c>
      <c r="E33" s="3">
        <f>+E23</f>
        <v>1200</v>
      </c>
      <c r="F33" s="3"/>
      <c r="G33" s="3"/>
      <c r="H33" s="3"/>
      <c r="I33" s="3"/>
    </row>
    <row r="34" spans="1:9" ht="11.25">
      <c r="A34" t="s">
        <v>16</v>
      </c>
      <c r="C34" s="3">
        <f aca="true" t="shared" si="0" ref="C34:E40">C24*$B24*(C$14/12)</f>
        <v>0</v>
      </c>
      <c r="D34" s="3">
        <f t="shared" si="0"/>
        <v>0</v>
      </c>
      <c r="E34" s="3">
        <f t="shared" si="0"/>
        <v>0</v>
      </c>
      <c r="F34" s="3"/>
      <c r="G34" s="3"/>
      <c r="H34" s="3"/>
      <c r="I34" s="3"/>
    </row>
    <row r="35" spans="1:9" ht="11.25">
      <c r="A35" t="s">
        <v>17</v>
      </c>
      <c r="C35" s="3">
        <f t="shared" si="0"/>
        <v>0</v>
      </c>
      <c r="D35" s="3">
        <f t="shared" si="0"/>
        <v>0</v>
      </c>
      <c r="E35" s="3">
        <f t="shared" si="0"/>
        <v>0</v>
      </c>
      <c r="F35" s="3"/>
      <c r="G35" s="3"/>
      <c r="H35" s="3"/>
      <c r="I35" s="3"/>
    </row>
    <row r="36" spans="1:9" ht="11.25">
      <c r="A36" t="s">
        <v>18</v>
      </c>
      <c r="C36" s="3">
        <f t="shared" si="0"/>
        <v>0</v>
      </c>
      <c r="D36" s="3">
        <f t="shared" si="0"/>
        <v>0</v>
      </c>
      <c r="E36" s="3">
        <f t="shared" si="0"/>
        <v>0</v>
      </c>
      <c r="F36" s="3"/>
      <c r="G36" s="3"/>
      <c r="H36" s="3"/>
      <c r="I36" s="3"/>
    </row>
    <row r="37" spans="1:9" ht="10.5" customHeight="1">
      <c r="A37" t="s">
        <v>19</v>
      </c>
      <c r="C37" s="3">
        <f t="shared" si="0"/>
        <v>120</v>
      </c>
      <c r="D37" s="3">
        <f t="shared" si="0"/>
        <v>0</v>
      </c>
      <c r="E37" s="3">
        <f t="shared" si="0"/>
        <v>50</v>
      </c>
      <c r="F37" s="3"/>
      <c r="G37" s="3"/>
      <c r="H37" s="3"/>
      <c r="I37" s="3"/>
    </row>
    <row r="38" spans="1:9" ht="11.25">
      <c r="A38" t="s">
        <v>20</v>
      </c>
      <c r="C38" s="3">
        <f t="shared" si="0"/>
        <v>0</v>
      </c>
      <c r="D38" s="3">
        <f t="shared" si="0"/>
        <v>0</v>
      </c>
      <c r="E38" s="3">
        <f t="shared" si="0"/>
        <v>0</v>
      </c>
      <c r="F38" s="3"/>
      <c r="G38" s="3"/>
      <c r="H38" s="3"/>
      <c r="I38" s="3"/>
    </row>
    <row r="39" spans="1:9" ht="11.25">
      <c r="A39" t="s">
        <v>21</v>
      </c>
      <c r="C39" s="3">
        <f t="shared" si="0"/>
        <v>0</v>
      </c>
      <c r="D39" s="3">
        <f t="shared" si="0"/>
        <v>0</v>
      </c>
      <c r="E39" s="3">
        <f t="shared" si="0"/>
        <v>0</v>
      </c>
      <c r="F39" s="3"/>
      <c r="G39" s="3"/>
      <c r="H39" s="3"/>
      <c r="I39" s="3"/>
    </row>
    <row r="40" spans="1:9" ht="11.25">
      <c r="A40" t="s">
        <v>22</v>
      </c>
      <c r="C40" s="3">
        <f t="shared" si="0"/>
        <v>0</v>
      </c>
      <c r="D40" s="3">
        <f t="shared" si="0"/>
        <v>40</v>
      </c>
      <c r="E40" s="3">
        <f t="shared" si="0"/>
        <v>0</v>
      </c>
      <c r="F40" s="3"/>
      <c r="G40" s="3"/>
      <c r="H40" s="3"/>
      <c r="I40" s="3"/>
    </row>
    <row r="41" spans="1:9" ht="11.25">
      <c r="A41" t="s">
        <v>24</v>
      </c>
      <c r="C41" s="3">
        <f>SUM(C33:C40)</f>
        <v>240</v>
      </c>
      <c r="D41" s="3">
        <f>SUM(D33:D40)</f>
        <v>4440</v>
      </c>
      <c r="E41" s="3">
        <f>SUM(E33:E40)</f>
        <v>1250</v>
      </c>
      <c r="F41" s="3"/>
      <c r="G41" s="3"/>
      <c r="H41" s="3"/>
      <c r="I41" s="3"/>
    </row>
  </sheetData>
  <mergeCells count="1">
    <mergeCell ref="H16:N16"/>
  </mergeCells>
  <printOptions/>
  <pageMargins left="0.75" right="0.75" top="1" bottom="1" header="0.5" footer="0.5"/>
  <pageSetup horizontalDpi="300" verticalDpi="300" orientation="portrait" r:id="rId1"/>
  <headerFooter alignWithMargins="0">
    <oddHeader>&amp;CONSITE SEWAGE DISPOSAL SYSTEM CALCULATIONS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A17" sqref="A17"/>
    </sheetView>
  </sheetViews>
  <sheetFormatPr defaultColWidth="10.83203125" defaultRowHeight="11.25"/>
  <cols>
    <col min="2" max="2" width="10.83203125" style="0" hidden="1" customWidth="1"/>
  </cols>
  <sheetData>
    <row r="1" spans="1:10" ht="11.25">
      <c r="A1" t="s">
        <v>25</v>
      </c>
      <c r="G1" t="s">
        <v>27</v>
      </c>
      <c r="J1" s="14">
        <f>+Summary!L16</f>
        <v>21</v>
      </c>
    </row>
    <row r="2" spans="7:10" ht="11.25">
      <c r="G2" t="s">
        <v>26</v>
      </c>
      <c r="J2">
        <v>10</v>
      </c>
    </row>
    <row r="3" spans="7:10" ht="11.25">
      <c r="G3" t="s">
        <v>28</v>
      </c>
      <c r="J3">
        <v>24</v>
      </c>
    </row>
    <row r="4" spans="3:10" ht="11.25">
      <c r="C4" t="s">
        <v>0</v>
      </c>
      <c r="G4" s="10" t="s">
        <v>29</v>
      </c>
      <c r="H4" s="10"/>
      <c r="I4" s="6"/>
      <c r="J4" s="11">
        <f>J3-J1+J2</f>
        <v>13</v>
      </c>
    </row>
    <row r="5" spans="3:10" ht="11.25">
      <c r="C5" s="2">
        <v>3447</v>
      </c>
      <c r="D5" s="1" t="s">
        <v>1</v>
      </c>
      <c r="G5" t="s">
        <v>30</v>
      </c>
      <c r="J5" s="2">
        <f>H20</f>
        <v>182.0027344917534</v>
      </c>
    </row>
    <row r="6" spans="3:10" ht="11.25">
      <c r="C6" s="2">
        <f>+H20</f>
        <v>182.0027344917534</v>
      </c>
      <c r="D6" s="1" t="s">
        <v>2</v>
      </c>
      <c r="G6" t="s">
        <v>31</v>
      </c>
      <c r="J6" s="2">
        <f>J4+J5</f>
        <v>195.0027344917534</v>
      </c>
    </row>
    <row r="8" ht="11.25">
      <c r="C8" t="s">
        <v>3</v>
      </c>
    </row>
    <row r="9" spans="3:4" ht="11.25">
      <c r="C9">
        <v>0</v>
      </c>
      <c r="D9" s="1" t="s">
        <v>4</v>
      </c>
    </row>
    <row r="10" spans="3:4" ht="11.25">
      <c r="C10">
        <v>20</v>
      </c>
      <c r="D10" s="1" t="s">
        <v>5</v>
      </c>
    </row>
    <row r="12" spans="1:7" ht="11.25">
      <c r="A12" t="s">
        <v>6</v>
      </c>
      <c r="C12" s="6" t="s">
        <v>7</v>
      </c>
      <c r="D12" s="6" t="s">
        <v>7</v>
      </c>
      <c r="E12" s="6" t="s">
        <v>7</v>
      </c>
      <c r="F12" s="6" t="s">
        <v>7</v>
      </c>
      <c r="G12" s="6" t="s">
        <v>7</v>
      </c>
    </row>
    <row r="13" spans="3:7" ht="11.25">
      <c r="C13" s="6">
        <v>1</v>
      </c>
      <c r="D13" s="6">
        <v>3</v>
      </c>
      <c r="E13" s="6">
        <v>4</v>
      </c>
      <c r="F13" s="6">
        <v>5</v>
      </c>
      <c r="G13" s="6">
        <v>6</v>
      </c>
    </row>
    <row r="14" spans="1:7" ht="11.25">
      <c r="A14" t="s">
        <v>8</v>
      </c>
      <c r="C14" s="7">
        <f>VLOOKUP(C13,Segment,3,FALSE)</f>
        <v>24</v>
      </c>
      <c r="D14" s="7">
        <f>VLOOKUP(D13,Segment,3,FALSE)</f>
        <v>24</v>
      </c>
      <c r="E14" s="7">
        <f>VLOOKUP(E13,Segment,3,FALSE)</f>
        <v>16</v>
      </c>
      <c r="F14" s="7">
        <f>VLOOKUP(F13,Segment,3,FALSE)</f>
        <v>14</v>
      </c>
      <c r="G14" s="7">
        <f>VLOOKUP(G13,Segment,3,FALSE)</f>
        <v>12</v>
      </c>
    </row>
    <row r="15" spans="1:9" ht="11.25">
      <c r="A15" t="s">
        <v>9</v>
      </c>
      <c r="C15" s="4">
        <f>+C41</f>
        <v>240</v>
      </c>
      <c r="D15" s="4">
        <f>+D41</f>
        <v>4440</v>
      </c>
      <c r="E15" s="4">
        <f>+E41</f>
        <v>1906.6666666666667</v>
      </c>
      <c r="F15" s="4">
        <f>+F41</f>
        <v>1893.3333333333333</v>
      </c>
      <c r="G15" s="4">
        <f>+G41</f>
        <v>4380</v>
      </c>
      <c r="H15" s="4"/>
      <c r="I15" s="4"/>
    </row>
    <row r="16" spans="1:7" ht="11.25">
      <c r="A16" t="s">
        <v>10</v>
      </c>
      <c r="C16">
        <v>110</v>
      </c>
      <c r="D16">
        <v>110</v>
      </c>
      <c r="E16">
        <v>110</v>
      </c>
      <c r="F16">
        <v>111</v>
      </c>
      <c r="G16">
        <v>110</v>
      </c>
    </row>
    <row r="17" spans="1:7" s="4" customFormat="1" ht="11.25">
      <c r="A17" t="s">
        <v>11</v>
      </c>
      <c r="C17" s="17">
        <f>VLOOKUP(C13,Segment,2,FALSE)</f>
        <v>24759.892857481056</v>
      </c>
      <c r="D17" s="17">
        <f>VLOOKUP(D13,Segment,2,FALSE)</f>
        <v>15343.894917140151</v>
      </c>
      <c r="E17" s="17">
        <f>VLOOKUP(E13,Segment,2,FALSE)</f>
        <v>4987.379154829546</v>
      </c>
      <c r="F17" s="17">
        <f>VLOOKUP(F13,Segment,2,FALSE)</f>
        <v>3354.216240530303</v>
      </c>
      <c r="G17" s="17">
        <f>VLOOKUP(G13,Segment,2,FALSE)</f>
        <v>1402.8164180871208</v>
      </c>
    </row>
    <row r="19" spans="3:8" ht="11.25">
      <c r="C19" t="s">
        <v>12</v>
      </c>
      <c r="D19" t="s">
        <v>12</v>
      </c>
      <c r="E19" t="s">
        <v>12</v>
      </c>
      <c r="F19" t="s">
        <v>12</v>
      </c>
      <c r="G19" t="s">
        <v>12</v>
      </c>
      <c r="H19" t="s">
        <v>24</v>
      </c>
    </row>
    <row r="20" spans="1:8" ht="11.25">
      <c r="A20" s="2"/>
      <c r="C20" s="5">
        <f>(4.73*C$15*(C$17*0.002228)^1.852)/(C$16^1.852*(C$14/12)^4.87)</f>
        <v>10.813310692860405</v>
      </c>
      <c r="D20" s="5">
        <f>(4.73*D$15*(D$17*0.002228)^1.852)/(D$16^1.852*(D$14/12)^4.87)</f>
        <v>82.46325332032994</v>
      </c>
      <c r="E20" s="5">
        <f>(4.73*E$15*(E$17*0.002228)^1.852)/(E$16^1.852*(E$14/12)^4.87)</f>
        <v>31.829044286081693</v>
      </c>
      <c r="F20" s="5">
        <f>(4.73*F$15*(F$17*0.002228)^1.852)/(F$16^1.852*(F$14/12)^4.87)</f>
        <v>28.566219121939707</v>
      </c>
      <c r="G20" s="5">
        <f>(4.73*G$15*(G$17*0.002228)^1.852)/(G$16^1.852*(G$14/12)^4.87)</f>
        <v>28.33090707054163</v>
      </c>
      <c r="H20" s="2">
        <f>SUM(C20:G20)</f>
        <v>182.0027344917534</v>
      </c>
    </row>
    <row r="22" ht="11.25">
      <c r="A22" t="s">
        <v>13</v>
      </c>
    </row>
    <row r="23" spans="1:7" ht="11.25">
      <c r="A23" t="s">
        <v>14</v>
      </c>
      <c r="B23" t="s">
        <v>15</v>
      </c>
      <c r="C23" s="7">
        <v>120</v>
      </c>
      <c r="D23" s="7">
        <v>4400</v>
      </c>
      <c r="E23" s="7">
        <v>1800</v>
      </c>
      <c r="F23" s="7">
        <v>1800</v>
      </c>
      <c r="G23" s="7">
        <v>4300</v>
      </c>
    </row>
    <row r="24" spans="1:7" ht="11.25">
      <c r="A24" t="s">
        <v>16</v>
      </c>
      <c r="B24">
        <v>30</v>
      </c>
      <c r="C24" s="7">
        <v>0</v>
      </c>
      <c r="D24" s="7">
        <v>0</v>
      </c>
      <c r="E24" s="7"/>
      <c r="F24" s="7"/>
      <c r="G24" s="7">
        <v>2</v>
      </c>
    </row>
    <row r="25" spans="1:7" ht="11.25">
      <c r="A25" t="s">
        <v>17</v>
      </c>
      <c r="B25">
        <v>14</v>
      </c>
      <c r="C25" s="7"/>
      <c r="D25" s="7">
        <v>0</v>
      </c>
      <c r="E25" s="7"/>
      <c r="F25" s="7"/>
      <c r="G25" s="7"/>
    </row>
    <row r="26" spans="1:7" ht="11.25">
      <c r="A26" t="s">
        <v>18</v>
      </c>
      <c r="B26">
        <v>20</v>
      </c>
      <c r="C26" s="7">
        <v>0</v>
      </c>
      <c r="D26" s="7"/>
      <c r="E26" s="7">
        <v>0</v>
      </c>
      <c r="F26" s="7">
        <v>0</v>
      </c>
      <c r="G26" s="7"/>
    </row>
    <row r="27" spans="1:7" ht="11.25">
      <c r="A27" t="s">
        <v>19</v>
      </c>
      <c r="B27">
        <v>60</v>
      </c>
      <c r="C27" s="7">
        <v>1</v>
      </c>
      <c r="D27" s="7"/>
      <c r="E27" s="7">
        <v>1</v>
      </c>
      <c r="F27" s="7">
        <v>1</v>
      </c>
      <c r="G27" s="7"/>
    </row>
    <row r="28" spans="1:7" ht="11.25">
      <c r="A28" t="s">
        <v>20</v>
      </c>
      <c r="B28">
        <v>18</v>
      </c>
      <c r="C28" s="7"/>
      <c r="D28" s="7"/>
      <c r="E28" s="7"/>
      <c r="F28" s="7"/>
      <c r="G28" s="7"/>
    </row>
    <row r="29" spans="1:7" ht="11.25">
      <c r="A29" t="s">
        <v>21</v>
      </c>
      <c r="B29">
        <v>50</v>
      </c>
      <c r="C29" s="7"/>
      <c r="D29" s="7"/>
      <c r="E29" s="7"/>
      <c r="F29" s="7"/>
      <c r="G29" s="7"/>
    </row>
    <row r="30" spans="1:7" ht="11.25">
      <c r="A30" t="s">
        <v>22</v>
      </c>
      <c r="B30">
        <v>20</v>
      </c>
      <c r="C30" s="7">
        <v>0</v>
      </c>
      <c r="D30" s="7">
        <v>1</v>
      </c>
      <c r="E30" s="7">
        <v>1</v>
      </c>
      <c r="F30" s="7">
        <v>1</v>
      </c>
      <c r="G30" s="7">
        <v>1</v>
      </c>
    </row>
    <row r="32" ht="11.25">
      <c r="A32" t="s">
        <v>23</v>
      </c>
    </row>
    <row r="33" spans="1:11" ht="11.25">
      <c r="A33" t="s">
        <v>14</v>
      </c>
      <c r="C33" s="3">
        <f>+C23</f>
        <v>120</v>
      </c>
      <c r="D33" s="3">
        <f>+D23</f>
        <v>4400</v>
      </c>
      <c r="E33" s="3">
        <f>+E23</f>
        <v>1800</v>
      </c>
      <c r="F33" s="3">
        <f>+F23</f>
        <v>1800</v>
      </c>
      <c r="G33" s="3">
        <f>+G23</f>
        <v>4300</v>
      </c>
      <c r="H33" s="3"/>
      <c r="I33" s="3"/>
      <c r="J33" s="3"/>
      <c r="K33" s="3"/>
    </row>
    <row r="34" spans="1:11" ht="11.25">
      <c r="A34" t="s">
        <v>16</v>
      </c>
      <c r="C34" s="3">
        <f aca="true" t="shared" si="0" ref="C34:G40">C24*$B24*(C$14/12)</f>
        <v>0</v>
      </c>
      <c r="D34" s="3">
        <f t="shared" si="0"/>
        <v>0</v>
      </c>
      <c r="E34" s="3">
        <f t="shared" si="0"/>
        <v>0</v>
      </c>
      <c r="F34" s="3">
        <f aca="true" t="shared" si="1" ref="F34:F40">F24*$B24*(F$14/12)</f>
        <v>0</v>
      </c>
      <c r="G34" s="3">
        <f t="shared" si="0"/>
        <v>60</v>
      </c>
      <c r="H34" s="3"/>
      <c r="I34" s="3"/>
      <c r="J34" s="3"/>
      <c r="K34" s="3"/>
    </row>
    <row r="35" spans="1:11" ht="11.25">
      <c r="A35" t="s">
        <v>17</v>
      </c>
      <c r="C35" s="3">
        <f t="shared" si="0"/>
        <v>0</v>
      </c>
      <c r="D35" s="3">
        <f t="shared" si="0"/>
        <v>0</v>
      </c>
      <c r="E35" s="3">
        <f t="shared" si="0"/>
        <v>0</v>
      </c>
      <c r="F35" s="3">
        <f t="shared" si="1"/>
        <v>0</v>
      </c>
      <c r="G35" s="3">
        <f t="shared" si="0"/>
        <v>0</v>
      </c>
      <c r="H35" s="3"/>
      <c r="I35" s="3"/>
      <c r="J35" s="3"/>
      <c r="K35" s="3"/>
    </row>
    <row r="36" spans="1:11" ht="11.25">
      <c r="A36" t="s">
        <v>18</v>
      </c>
      <c r="C36" s="3">
        <f t="shared" si="0"/>
        <v>0</v>
      </c>
      <c r="D36" s="3">
        <f t="shared" si="0"/>
        <v>0</v>
      </c>
      <c r="E36" s="3">
        <f t="shared" si="0"/>
        <v>0</v>
      </c>
      <c r="F36" s="3">
        <f t="shared" si="1"/>
        <v>0</v>
      </c>
      <c r="G36" s="3">
        <f t="shared" si="0"/>
        <v>0</v>
      </c>
      <c r="H36" s="3"/>
      <c r="I36" s="3"/>
      <c r="J36" s="3"/>
      <c r="K36" s="3"/>
    </row>
    <row r="37" spans="1:11" ht="10.5" customHeight="1">
      <c r="A37" t="s">
        <v>19</v>
      </c>
      <c r="C37" s="3">
        <f t="shared" si="0"/>
        <v>120</v>
      </c>
      <c r="D37" s="3">
        <f t="shared" si="0"/>
        <v>0</v>
      </c>
      <c r="E37" s="3">
        <f t="shared" si="0"/>
        <v>80</v>
      </c>
      <c r="F37" s="3">
        <f t="shared" si="1"/>
        <v>70</v>
      </c>
      <c r="G37" s="3">
        <f t="shared" si="0"/>
        <v>0</v>
      </c>
      <c r="H37" s="3"/>
      <c r="I37" s="3"/>
      <c r="J37" s="3"/>
      <c r="K37" s="3"/>
    </row>
    <row r="38" spans="1:11" ht="11.25">
      <c r="A38" t="s">
        <v>20</v>
      </c>
      <c r="C38" s="3">
        <f t="shared" si="0"/>
        <v>0</v>
      </c>
      <c r="D38" s="3">
        <f t="shared" si="0"/>
        <v>0</v>
      </c>
      <c r="E38" s="3">
        <f t="shared" si="0"/>
        <v>0</v>
      </c>
      <c r="F38" s="3">
        <f t="shared" si="1"/>
        <v>0</v>
      </c>
      <c r="G38" s="3">
        <f t="shared" si="0"/>
        <v>0</v>
      </c>
      <c r="H38" s="3"/>
      <c r="I38" s="3"/>
      <c r="J38" s="3"/>
      <c r="K38" s="3"/>
    </row>
    <row r="39" spans="1:11" ht="11.25">
      <c r="A39" t="s">
        <v>21</v>
      </c>
      <c r="C39" s="3">
        <f t="shared" si="0"/>
        <v>0</v>
      </c>
      <c r="D39" s="3">
        <f t="shared" si="0"/>
        <v>0</v>
      </c>
      <c r="E39" s="3">
        <f t="shared" si="0"/>
        <v>0</v>
      </c>
      <c r="F39" s="3">
        <f t="shared" si="1"/>
        <v>0</v>
      </c>
      <c r="G39" s="3">
        <f t="shared" si="0"/>
        <v>0</v>
      </c>
      <c r="H39" s="3"/>
      <c r="I39" s="3"/>
      <c r="J39" s="3"/>
      <c r="K39" s="3"/>
    </row>
    <row r="40" spans="1:11" ht="11.25">
      <c r="A40" t="s">
        <v>22</v>
      </c>
      <c r="C40" s="3">
        <f t="shared" si="0"/>
        <v>0</v>
      </c>
      <c r="D40" s="3">
        <f t="shared" si="0"/>
        <v>40</v>
      </c>
      <c r="E40" s="3">
        <f t="shared" si="0"/>
        <v>26.666666666666664</v>
      </c>
      <c r="F40" s="3">
        <f t="shared" si="1"/>
        <v>23.333333333333336</v>
      </c>
      <c r="G40" s="3">
        <f t="shared" si="0"/>
        <v>20</v>
      </c>
      <c r="H40" s="3"/>
      <c r="I40" s="3"/>
      <c r="J40" s="3"/>
      <c r="K40" s="3"/>
    </row>
    <row r="41" spans="1:11" ht="11.25">
      <c r="A41" t="s">
        <v>24</v>
      </c>
      <c r="C41" s="3">
        <f>SUM(C33:C40)</f>
        <v>240</v>
      </c>
      <c r="D41" s="3">
        <f>SUM(D33:D40)</f>
        <v>4440</v>
      </c>
      <c r="E41" s="3">
        <f>SUM(E33:E40)</f>
        <v>1906.6666666666667</v>
      </c>
      <c r="F41" s="3">
        <f>SUM(F33:F40)</f>
        <v>1893.3333333333333</v>
      </c>
      <c r="G41" s="3">
        <f>SUM(G33:G40)</f>
        <v>4380</v>
      </c>
      <c r="H41" s="3"/>
      <c r="I41" s="3"/>
      <c r="J41" s="3"/>
      <c r="K41" s="3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&amp;CONSITE SEWAGE DISPOSAL SYSTEM CALCULATIONS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ONSITE SEWAGE DISPOSAL SYSTEM CALCULATIONS</dc:title>
  <dc:subject>WILLIAM C. &amp; ALICE B. CAHALL</dc:subject>
  <dc:creator>Brian C. Carbaugh, P.E.</dc:creator>
  <cp:keywords/>
  <dc:description/>
  <cp:lastModifiedBy> </cp:lastModifiedBy>
  <cp:lastPrinted>2009-06-18T17:21:12Z</cp:lastPrinted>
  <dcterms:created xsi:type="dcterms:W3CDTF">2009-04-22T19:06:30Z</dcterms:created>
  <dcterms:modified xsi:type="dcterms:W3CDTF">2009-06-18T17:22:00Z</dcterms:modified>
  <cp:category/>
  <cp:version/>
  <cp:contentType/>
  <cp:contentStatus/>
</cp:coreProperties>
</file>